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0eb5b35c0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a98110984b9a489f"/>
    <x:sheet xmlns:r="http://schemas.openxmlformats.org/officeDocument/2006/relationships" name="Inputs" sheetId="2" r:id="R8414edf3ec0140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-yy"/>
    <x:numFmt numFmtId="201" formatCode="#,##0.00;(#,##0.00);&quot;–&quot;"/>
    <x:numFmt numFmtId="202" formatCode="0.0%"/>
    <x:numFmt numFmtId="203" formatCode="#,##0;(#,##0);&quot;–&quot;"/>
    <x:numFmt numFmtId="204" formatCode="$#,##0.00;($#,##0.00);&quot;–&quot;"/>
  </x:numFmts>
  <x:fonts count="7">
    <x:font>
      <x:sz val="11"/>
      <x:name val="Carlito"/>
    </x:font>
    <x:font>
      <x:sz val="10"/>
      <x:color rgb="FF152B3E"/>
      <x:name val="Arial"/>
    </x:font>
    <x:font>
      <x:b/>
      <x:sz val="14"/>
      <x:color rgb="FF152B3E"/>
      <x:name val="Arial"/>
    </x:font>
    <x:font>
      <x:i/>
      <x:sz val="10"/>
      <x:color rgb="FF516778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52B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6"/>
      </x:patternFill>
    </x:fill>
    <x:fill>
      <x:patternFill patternType="solid">
        <x:fgColor rgb="FFFFF8DC"/>
      </x:patternFill>
    </x:fill>
    <x:fill>
      <x:patternFill patternType="solid">
        <x:fgColor rgb="FFEDF2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5" fillId="3" borderId="0" xfId="0" applyNumberFormat="1" applyFont="1" applyFill="1" applyBorder="1"/>
    <x:xf numFmtId="201" fontId="5" fillId="3" borderId="0" xfId="0" applyNumberFormat="1" applyFont="1" applyFill="1" applyBorder="1"/>
    <x:xf numFmtId="202" fontId="5" fillId="3" borderId="0" xfId="0" applyNumberFormat="1" applyFont="1" applyFill="1" applyBorder="1"/>
    <x:xf numFmtId="201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6" fillId="4" borderId="0" xfId="0" applyNumberFormat="1" applyFont="1" applyFill="1" applyBorder="1"/>
    <x:xf numFmtId="201" fontId="6" fillId="4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0e760cdc648e2" /><Relationship Type="http://schemas.openxmlformats.org/officeDocument/2006/relationships/theme" Target="/xl/theme/theme1.xml" Id="Rd3dea7efa34a4b09" /><Relationship Type="http://schemas.openxmlformats.org/officeDocument/2006/relationships/sharedStrings" Target="/xl/sharedStrings.xml" Id="Rd5375851fdbc45c7" /><Relationship Type="http://schemas.openxmlformats.org/officeDocument/2006/relationships/worksheet" Target="/xl/worksheets/sheet1.xml" Id="Ra98110984b9a489f" /><Relationship Type="http://schemas.openxmlformats.org/officeDocument/2006/relationships/worksheet" Target="/xl/worksheets/sheet2.xml" Id="R8414edf3ec0140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6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2" max="2" width="4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2" ht="23" customHeight="1">
      <x:c r="B2" s="2" t="str">
        <x:v>Ecommerce business plan (USD)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B3" s="3" t="str">
        <x:v>Fictional 2027 example. Replace blue inputs; preserve black formulas.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3" customHeight="1">
      <x:c r="B4" s="1" t="str">
        <x:v>Annual sales</x:v>
      </x:c>
      <x:c r="C4" s="14" t="n">
        <x:f>IF(COUNT(C11:N11)=12,SUM(C11:N11),"n.a.")</x:f>
        <x:v>300000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B5" s="1" t="str">
        <x:v>Annual result before excluded items</x:v>
      </x:c>
      <x:c r="C5" s="14" t="n">
        <x:f>IF(COUNT(C16:N16)=12,SUM(C16:N16),"n.a.")</x:f>
        <x:v>13500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B6" s="1" t="str">
        <x:v>Lowest month-end cash</x:v>
      </x:c>
      <x:c r="C6" s="14" t="n">
        <x:f>IF(COUNT(C31:N31)=12,MIN(C31:N31),"n.a.")</x:f>
        <x:v>16625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3" customHeight="1">
      <x:c r="B7" s="1" t="str">
        <x:v>Months above hours capacity</x:v>
      </x:c>
      <x:c r="C7" s="1" t="n">
        <x:f>IF(COUNT(C10:N10)=12,COUNTIFS(C21:N21,"Above capacity"),"n.a.")</x:f>
        <x:v>0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3" customHeight="1"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 ht="28" customHeight="1">
      <x:c r="B9" s="5"/>
      <x:c r="C9" s="6" t="n">
        <x:f>'Inputs'!C7</x:f>
        <x:v>46388</x:v>
      </x:c>
      <x:c r="D9" s="6" t="n">
        <x:f>'Inputs'!D7</x:f>
        <x:v>46419</x:v>
      </x:c>
      <x:c r="E9" s="6" t="n">
        <x:f>'Inputs'!E7</x:f>
        <x:v>46447</x:v>
      </x:c>
      <x:c r="F9" s="6" t="n">
        <x:f>'Inputs'!F7</x:f>
        <x:v>46478</x:v>
      </x:c>
      <x:c r="G9" s="6" t="n">
        <x:f>'Inputs'!G7</x:f>
        <x:v>46508</x:v>
      </x:c>
      <x:c r="H9" s="6" t="n">
        <x:f>'Inputs'!H7</x:f>
        <x:v>46539</x:v>
      </x:c>
      <x:c r="I9" s="6" t="n">
        <x:f>'Inputs'!I7</x:f>
        <x:v>46569</x:v>
      </x:c>
      <x:c r="J9" s="6" t="n">
        <x:f>'Inputs'!J7</x:f>
        <x:v>46600</x:v>
      </x:c>
      <x:c r="K9" s="6" t="n">
        <x:f>'Inputs'!K7</x:f>
        <x:v>46631</x:v>
      </x:c>
      <x:c r="L9" s="6" t="n">
        <x:f>'Inputs'!L7</x:f>
        <x:v>46661</x:v>
      </x:c>
      <x:c r="M9" s="6" t="n">
        <x:f>'Inputs'!M7</x:f>
        <x:v>46692</x:v>
      </x:c>
      <x:c r="N9" s="6" t="n">
        <x:f>'Inputs'!N7</x:f>
        <x:v>46722</x:v>
      </x:c>
    </x:row>
    <x:row r="10" ht="23" customHeight="1">
      <x:c r="B10" s="1" t="str">
        <x:v>Shipped orders (one unit each)</x:v>
      </x:c>
      <x:c r="C10" s="12" t="n">
        <x:f>IF(AND('Inputs'!C40=1),'Inputs'!C8,"n.a.")</x:f>
        <x:v>500</x:v>
      </x:c>
      <x:c r="D10" s="12" t="n">
        <x:f>IF(AND('Inputs'!D40=1,ISNUMBER(C31),ISNUMBER(C32)),'Inputs'!D8,"n.a.")</x:f>
        <x:v>500</x:v>
      </x:c>
      <x:c r="E10" s="12" t="n">
        <x:f>IF(AND('Inputs'!E40=1,ISNUMBER(D31),ISNUMBER(D32)),'Inputs'!E8,"n.a.")</x:f>
        <x:v>500</x:v>
      </x:c>
      <x:c r="F10" s="12" t="n">
        <x:f>IF(AND('Inputs'!F40=1,ISNUMBER(E31),ISNUMBER(E32)),'Inputs'!F8,"n.a.")</x:f>
        <x:v>500</x:v>
      </x:c>
      <x:c r="G10" s="12" t="n">
        <x:f>IF(AND('Inputs'!G40=1,ISNUMBER(F31),ISNUMBER(F32)),'Inputs'!G8,"n.a.")</x:f>
        <x:v>500</x:v>
      </x:c>
      <x:c r="H10" s="12" t="n">
        <x:f>IF(AND('Inputs'!H40=1,ISNUMBER(G31),ISNUMBER(G32)),'Inputs'!H8,"n.a.")</x:f>
        <x:v>500</x:v>
      </x:c>
      <x:c r="I10" s="12" t="n">
        <x:f>IF(AND('Inputs'!I40=1,ISNUMBER(H31),ISNUMBER(H32)),'Inputs'!I8,"n.a.")</x:f>
        <x:v>500</x:v>
      </x:c>
      <x:c r="J10" s="12" t="n">
        <x:f>IF(AND('Inputs'!J40=1,ISNUMBER(I31),ISNUMBER(I32)),'Inputs'!J8,"n.a.")</x:f>
        <x:v>500</x:v>
      </x:c>
      <x:c r="K10" s="12" t="n">
        <x:f>IF(AND('Inputs'!K40=1,ISNUMBER(J31),ISNUMBER(J32)),'Inputs'!K8,"n.a.")</x:f>
        <x:v>500</x:v>
      </x:c>
      <x:c r="L10" s="12" t="n">
        <x:f>IF(AND('Inputs'!L40=1,ISNUMBER(K31),ISNUMBER(K32)),'Inputs'!L8,"n.a.")</x:f>
        <x:v>500</x:v>
      </x:c>
      <x:c r="M10" s="12" t="n">
        <x:f>IF(AND('Inputs'!M40=1,ISNUMBER(L31),ISNUMBER(L32)),'Inputs'!M8,"n.a.")</x:f>
        <x:v>500</x:v>
      </x:c>
      <x:c r="N10" s="12" t="n">
        <x:f>IF(AND('Inputs'!N40=1,ISNUMBER(M31),ISNUMBER(M32)),'Inputs'!N8,"n.a.")</x:f>
        <x:v>500</x:v>
      </x:c>
    </x:row>
    <x:row r="11" ht="23" customHeight="1">
      <x:c r="B11" s="1" t="str">
        <x:v>Sales before modeled refunds (USD)</x:v>
      </x:c>
      <x:c r="C11" s="11" t="n">
        <x:f>IF(AND('Inputs'!C40=1),C10*'Inputs'!C9,"n.a.")</x:f>
        <x:v>25000</x:v>
      </x:c>
      <x:c r="D11" s="11" t="n">
        <x:f>IF(AND('Inputs'!D40=1,ISNUMBER(C31),ISNUMBER(C32)),D10*'Inputs'!D9,"n.a.")</x:f>
        <x:v>25000</x:v>
      </x:c>
      <x:c r="E11" s="11" t="n">
        <x:f>IF(AND('Inputs'!E40=1,ISNUMBER(D31),ISNUMBER(D32)),E10*'Inputs'!E9,"n.a.")</x:f>
        <x:v>25000</x:v>
      </x:c>
      <x:c r="F11" s="11" t="n">
        <x:f>IF(AND('Inputs'!F40=1,ISNUMBER(E31),ISNUMBER(E32)),F10*'Inputs'!F9,"n.a.")</x:f>
        <x:v>25000</x:v>
      </x:c>
      <x:c r="G11" s="11" t="n">
        <x:f>IF(AND('Inputs'!G40=1,ISNUMBER(F31),ISNUMBER(F32)),G10*'Inputs'!G9,"n.a.")</x:f>
        <x:v>25000</x:v>
      </x:c>
      <x:c r="H11" s="11" t="n">
        <x:f>IF(AND('Inputs'!H40=1,ISNUMBER(G31),ISNUMBER(G32)),H10*'Inputs'!H9,"n.a.")</x:f>
        <x:v>25000</x:v>
      </x:c>
      <x:c r="I11" s="11" t="n">
        <x:f>IF(AND('Inputs'!I40=1,ISNUMBER(H31),ISNUMBER(H32)),I10*'Inputs'!I9,"n.a.")</x:f>
        <x:v>25000</x:v>
      </x:c>
      <x:c r="J11" s="11" t="n">
        <x:f>IF(AND('Inputs'!J40=1,ISNUMBER(I31),ISNUMBER(I32)),J10*'Inputs'!J9,"n.a.")</x:f>
        <x:v>25000</x:v>
      </x:c>
      <x:c r="K11" s="11" t="n">
        <x:f>IF(AND('Inputs'!K40=1,ISNUMBER(J31),ISNUMBER(J32)),K10*'Inputs'!K9,"n.a.")</x:f>
        <x:v>25000</x:v>
      </x:c>
      <x:c r="L11" s="11" t="n">
        <x:f>IF(AND('Inputs'!L40=1,ISNUMBER(K31),ISNUMBER(K32)),L10*'Inputs'!L9,"n.a.")</x:f>
        <x:v>25000</x:v>
      </x:c>
      <x:c r="M11" s="11" t="n">
        <x:f>IF(AND('Inputs'!M40=1,ISNUMBER(L31),ISNUMBER(L32)),M10*'Inputs'!M9,"n.a.")</x:f>
        <x:v>25000</x:v>
      </x:c>
      <x:c r="N11" s="11" t="n">
        <x:f>IF(AND('Inputs'!N40=1,ISNUMBER(M31),ISNUMBER(M32)),N10*'Inputs'!N9,"n.a.")</x:f>
        <x:v>25000</x:v>
      </x:c>
    </x:row>
    <x:row r="12" ht="23" customHeight="1">
      <x:c r="B12" s="1" t="str">
        <x:v>Order-driven costs (USD)</x:v>
      </x:c>
      <x:c r="C12" s="11" t="n">
        <x:f>IF(AND('Inputs'!C40=1),C10*('Inputs'!C10+'Inputs'!C11+'Inputs'!C9*'Inputs'!C12+'Inputs'!C13+'Inputs'!C14),"n.a.")</x:f>
        <x:v>18875</x:v>
      </x:c>
      <x:c r="D12" s="11" t="n">
        <x:f>IF(AND('Inputs'!D40=1,ISNUMBER(C31),ISNUMBER(C32)),D10*('Inputs'!D10+'Inputs'!D11+'Inputs'!D9*'Inputs'!D12+'Inputs'!D13+'Inputs'!D14),"n.a.")</x:f>
        <x:v>18875</x:v>
      </x:c>
      <x:c r="E12" s="11" t="n">
        <x:f>IF(AND('Inputs'!E40=1,ISNUMBER(D31),ISNUMBER(D32)),E10*('Inputs'!E10+'Inputs'!E11+'Inputs'!E9*'Inputs'!E12+'Inputs'!E13+'Inputs'!E14),"n.a.")</x:f>
        <x:v>18875</x:v>
      </x:c>
      <x:c r="F12" s="11" t="n">
        <x:f>IF(AND('Inputs'!F40=1,ISNUMBER(E31),ISNUMBER(E32)),F10*('Inputs'!F10+'Inputs'!F11+'Inputs'!F9*'Inputs'!F12+'Inputs'!F13+'Inputs'!F14),"n.a.")</x:f>
        <x:v>18875</x:v>
      </x:c>
      <x:c r="G12" s="11" t="n">
        <x:f>IF(AND('Inputs'!G40=1,ISNUMBER(F31),ISNUMBER(F32)),G10*('Inputs'!G10+'Inputs'!G11+'Inputs'!G9*'Inputs'!G12+'Inputs'!G13+'Inputs'!G14),"n.a.")</x:f>
        <x:v>18875</x:v>
      </x:c>
      <x:c r="H12" s="11" t="n">
        <x:f>IF(AND('Inputs'!H40=1,ISNUMBER(G31),ISNUMBER(G32)),H10*('Inputs'!H10+'Inputs'!H11+'Inputs'!H9*'Inputs'!H12+'Inputs'!H13+'Inputs'!H14),"n.a.")</x:f>
        <x:v>18875</x:v>
      </x:c>
      <x:c r="I12" s="11" t="n">
        <x:f>IF(AND('Inputs'!I40=1,ISNUMBER(H31),ISNUMBER(H32)),I10*('Inputs'!I10+'Inputs'!I11+'Inputs'!I9*'Inputs'!I12+'Inputs'!I13+'Inputs'!I14),"n.a.")</x:f>
        <x:v>18875</x:v>
      </x:c>
      <x:c r="J12" s="11" t="n">
        <x:f>IF(AND('Inputs'!J40=1,ISNUMBER(I31),ISNUMBER(I32)),J10*('Inputs'!J10+'Inputs'!J11+'Inputs'!J9*'Inputs'!J12+'Inputs'!J13+'Inputs'!J14),"n.a.")</x:f>
        <x:v>18875</x:v>
      </x:c>
      <x:c r="K12" s="11" t="n">
        <x:f>IF(AND('Inputs'!K40=1,ISNUMBER(J31),ISNUMBER(J32)),K10*('Inputs'!K10+'Inputs'!K11+'Inputs'!K9*'Inputs'!K12+'Inputs'!K13+'Inputs'!K14),"n.a.")</x:f>
        <x:v>18875</x:v>
      </x:c>
      <x:c r="L12" s="11" t="n">
        <x:f>IF(AND('Inputs'!L40=1,ISNUMBER(K31),ISNUMBER(K32)),L10*('Inputs'!L10+'Inputs'!L11+'Inputs'!L9*'Inputs'!L12+'Inputs'!L13+'Inputs'!L14),"n.a.")</x:f>
        <x:v>18875</x:v>
      </x:c>
      <x:c r="M12" s="11" t="n">
        <x:f>IF(AND('Inputs'!M40=1,ISNUMBER(L31),ISNUMBER(L32)),M10*('Inputs'!M10+'Inputs'!M11+'Inputs'!M9*'Inputs'!M12+'Inputs'!M13+'Inputs'!M14),"n.a.")</x:f>
        <x:v>18875</x:v>
      </x:c>
      <x:c r="N12" s="11" t="n">
        <x:f>IF(AND('Inputs'!N40=1,ISNUMBER(M31),ISNUMBER(M32)),N10*('Inputs'!N10+'Inputs'!N11+'Inputs'!N9*'Inputs'!N12+'Inputs'!N13+'Inputs'!N14),"n.a.")</x:f>
        <x:v>18875</x:v>
      </x:c>
    </x:row>
    <x:row r="13" ht="23" customHeight="1">
      <x:c r="B13" s="17" t="str">
        <x:v>Contribution (USD)</x:v>
      </x:c>
      <x:c r="C13" s="18" t="n">
        <x:f>IF(AND('Inputs'!C40=1),C11-C12,"n.a.")</x:f>
        <x:v>6125</x:v>
      </x:c>
      <x:c r="D13" s="18" t="n">
        <x:f>IF(AND('Inputs'!D40=1,ISNUMBER(C31),ISNUMBER(C32)),D11-D12,"n.a.")</x:f>
        <x:v>6125</x:v>
      </x:c>
      <x:c r="E13" s="18" t="n">
        <x:f>IF(AND('Inputs'!E40=1,ISNUMBER(D31),ISNUMBER(D32)),E11-E12,"n.a.")</x:f>
        <x:v>6125</x:v>
      </x:c>
      <x:c r="F13" s="18" t="n">
        <x:f>IF(AND('Inputs'!F40=1,ISNUMBER(E31),ISNUMBER(E32)),F11-F12,"n.a.")</x:f>
        <x:v>6125</x:v>
      </x:c>
      <x:c r="G13" s="18" t="n">
        <x:f>IF(AND('Inputs'!G40=1,ISNUMBER(F31),ISNUMBER(F32)),G11-G12,"n.a.")</x:f>
        <x:v>6125</x:v>
      </x:c>
      <x:c r="H13" s="18" t="n">
        <x:f>IF(AND('Inputs'!H40=1,ISNUMBER(G31),ISNUMBER(G32)),H11-H12,"n.a.")</x:f>
        <x:v>6125</x:v>
      </x:c>
      <x:c r="I13" s="18" t="n">
        <x:f>IF(AND('Inputs'!I40=1,ISNUMBER(H31),ISNUMBER(H32)),I11-I12,"n.a.")</x:f>
        <x:v>6125</x:v>
      </x:c>
      <x:c r="J13" s="18" t="n">
        <x:f>IF(AND('Inputs'!J40=1,ISNUMBER(I31),ISNUMBER(I32)),J11-J12,"n.a.")</x:f>
        <x:v>6125</x:v>
      </x:c>
      <x:c r="K13" s="18" t="n">
        <x:f>IF(AND('Inputs'!K40=1,ISNUMBER(J31),ISNUMBER(J32)),K11-K12,"n.a.")</x:f>
        <x:v>6125</x:v>
      </x:c>
      <x:c r="L13" s="18" t="n">
        <x:f>IF(AND('Inputs'!L40=1,ISNUMBER(K31),ISNUMBER(K32)),L11-L12,"n.a.")</x:f>
        <x:v>6125</x:v>
      </x:c>
      <x:c r="M13" s="18" t="n">
        <x:f>IF(AND('Inputs'!M40=1,ISNUMBER(L31),ISNUMBER(L32)),M11-M12,"n.a.")</x:f>
        <x:v>6125</x:v>
      </x:c>
      <x:c r="N13" s="18" t="n">
        <x:f>IF(AND('Inputs'!N40=1,ISNUMBER(M31),ISNUMBER(M32)),N11-N12,"n.a.")</x:f>
        <x:v>6125</x:v>
      </x:c>
    </x:row>
    <x:row r="14" ht="23" customHeight="1">
      <x:c r="B14" s="1" t="str">
        <x:v>Fixed commitments (USD)</x:v>
      </x:c>
      <x:c r="C14" s="11" t="n">
        <x:f>IF(AND('Inputs'!C40=1),'Inputs'!C15,"n.a.")</x:f>
        <x:v>5000</x:v>
      </x:c>
      <x:c r="D14" s="11" t="n">
        <x:f>IF(AND('Inputs'!D40=1,ISNUMBER(C31),ISNUMBER(C32)),'Inputs'!D15,"n.a.")</x:f>
        <x:v>5000</x:v>
      </x:c>
      <x:c r="E14" s="11" t="n">
        <x:f>IF(AND('Inputs'!E40=1,ISNUMBER(D31),ISNUMBER(D32)),'Inputs'!E15,"n.a.")</x:f>
        <x:v>5000</x:v>
      </x:c>
      <x:c r="F14" s="11" t="n">
        <x:f>IF(AND('Inputs'!F40=1,ISNUMBER(E31),ISNUMBER(E32)),'Inputs'!F15,"n.a.")</x:f>
        <x:v>5000</x:v>
      </x:c>
      <x:c r="G14" s="11" t="n">
        <x:f>IF(AND('Inputs'!G40=1,ISNUMBER(F31),ISNUMBER(F32)),'Inputs'!G15,"n.a.")</x:f>
        <x:v>5000</x:v>
      </x:c>
      <x:c r="H14" s="11" t="n">
        <x:f>IF(AND('Inputs'!H40=1,ISNUMBER(G31),ISNUMBER(G32)),'Inputs'!H15,"n.a.")</x:f>
        <x:v>5000</x:v>
      </x:c>
      <x:c r="I14" s="11" t="n">
        <x:f>IF(AND('Inputs'!I40=1,ISNUMBER(H31),ISNUMBER(H32)),'Inputs'!I15,"n.a.")</x:f>
        <x:v>5000</x:v>
      </x:c>
      <x:c r="J14" s="11" t="n">
        <x:f>IF(AND('Inputs'!J40=1,ISNUMBER(I31),ISNUMBER(I32)),'Inputs'!J15,"n.a.")</x:f>
        <x:v>5000</x:v>
      </x:c>
      <x:c r="K14" s="11" t="n">
        <x:f>IF(AND('Inputs'!K40=1,ISNUMBER(J31),ISNUMBER(J32)),'Inputs'!K15,"n.a.")</x:f>
        <x:v>5000</x:v>
      </x:c>
      <x:c r="L14" s="11" t="n">
        <x:f>IF(AND('Inputs'!L40=1,ISNUMBER(K31),ISNUMBER(K32)),'Inputs'!L15,"n.a.")</x:f>
        <x:v>5000</x:v>
      </x:c>
      <x:c r="M14" s="11" t="n">
        <x:f>IF(AND('Inputs'!M40=1,ISNUMBER(L31),ISNUMBER(L32)),'Inputs'!M15,"n.a.")</x:f>
        <x:v>5000</x:v>
      </x:c>
      <x:c r="N14" s="11" t="n">
        <x:f>IF(AND('Inputs'!N40=1,ISNUMBER(M31),ISNUMBER(M32)),'Inputs'!N15,"n.a.")</x:f>
        <x:v>5000</x:v>
      </x:c>
    </x:row>
    <x:row r="15" ht="23" customHeight="1">
      <x:c r="B15" s="1" t="str">
        <x:v>Additional owner pay (USD)</x:v>
      </x:c>
      <x:c r="C15" s="11" t="n">
        <x:f>IF(AND('Inputs'!C40=1),'Inputs'!C16,"n.a.")</x:f>
        <x:v>0</x:v>
      </x:c>
      <x:c r="D15" s="11" t="n">
        <x:f>IF(AND('Inputs'!D40=1,ISNUMBER(C31),ISNUMBER(C32)),'Inputs'!D16,"n.a.")</x:f>
        <x:v>0</x:v>
      </x:c>
      <x:c r="E15" s="11" t="n">
        <x:f>IF(AND('Inputs'!E40=1,ISNUMBER(D31),ISNUMBER(D32)),'Inputs'!E16,"n.a.")</x:f>
        <x:v>0</x:v>
      </x:c>
      <x:c r="F15" s="11" t="n">
        <x:f>IF(AND('Inputs'!F40=1,ISNUMBER(E31),ISNUMBER(E32)),'Inputs'!F16,"n.a.")</x:f>
        <x:v>0</x:v>
      </x:c>
      <x:c r="G15" s="11" t="n">
        <x:f>IF(AND('Inputs'!G40=1,ISNUMBER(F31),ISNUMBER(F32)),'Inputs'!G16,"n.a.")</x:f>
        <x:v>0</x:v>
      </x:c>
      <x:c r="H15" s="11" t="n">
        <x:f>IF(AND('Inputs'!H40=1,ISNUMBER(G31),ISNUMBER(G32)),'Inputs'!H16,"n.a.")</x:f>
        <x:v>0</x:v>
      </x:c>
      <x:c r="I15" s="11" t="n">
        <x:f>IF(AND('Inputs'!I40=1,ISNUMBER(H31),ISNUMBER(H32)),'Inputs'!I16,"n.a.")</x:f>
        <x:v>0</x:v>
      </x:c>
      <x:c r="J15" s="11" t="n">
        <x:f>IF(AND('Inputs'!J40=1,ISNUMBER(I31),ISNUMBER(I32)),'Inputs'!J16,"n.a.")</x:f>
        <x:v>0</x:v>
      </x:c>
      <x:c r="K15" s="11" t="n">
        <x:f>IF(AND('Inputs'!K40=1,ISNUMBER(J31),ISNUMBER(J32)),'Inputs'!K16,"n.a.")</x:f>
        <x:v>0</x:v>
      </x:c>
      <x:c r="L15" s="11" t="n">
        <x:f>IF(AND('Inputs'!L40=1,ISNUMBER(K31),ISNUMBER(K32)),'Inputs'!L16,"n.a.")</x:f>
        <x:v>0</x:v>
      </x:c>
      <x:c r="M15" s="11" t="n">
        <x:f>IF(AND('Inputs'!M40=1,ISNUMBER(L31),ISNUMBER(L32)),'Inputs'!M16,"n.a.")</x:f>
        <x:v>0</x:v>
      </x:c>
      <x:c r="N15" s="11" t="n">
        <x:f>IF(AND('Inputs'!N40=1,ISNUMBER(M31),ISNUMBER(M32)),'Inputs'!N16,"n.a.")</x:f>
        <x:v>0</x:v>
      </x:c>
    </x:row>
    <x:row r="16" ht="23" customHeight="1">
      <x:c r="B16" s="17" t="str">
        <x:v>Result before unentered items (USD)</x:v>
      </x:c>
      <x:c r="C16" s="18" t="n">
        <x:f>IF(AND('Inputs'!C40=1),C13-C14-C15,"n.a.")</x:f>
        <x:v>1125</x:v>
      </x:c>
      <x:c r="D16" s="18" t="n">
        <x:f>IF(AND('Inputs'!D40=1,ISNUMBER(C31),ISNUMBER(C32)),D13-D14-D15,"n.a.")</x:f>
        <x:v>1125</x:v>
      </x:c>
      <x:c r="E16" s="18" t="n">
        <x:f>IF(AND('Inputs'!E40=1,ISNUMBER(D31),ISNUMBER(D32)),E13-E14-E15,"n.a.")</x:f>
        <x:v>1125</x:v>
      </x:c>
      <x:c r="F16" s="18" t="n">
        <x:f>IF(AND('Inputs'!F40=1,ISNUMBER(E31),ISNUMBER(E32)),F13-F14-F15,"n.a.")</x:f>
        <x:v>1125</x:v>
      </x:c>
      <x:c r="G16" s="18" t="n">
        <x:f>IF(AND('Inputs'!G40=1,ISNUMBER(F31),ISNUMBER(F32)),G13-G14-G15,"n.a.")</x:f>
        <x:v>1125</x:v>
      </x:c>
      <x:c r="H16" s="18" t="n">
        <x:f>IF(AND('Inputs'!H40=1,ISNUMBER(G31),ISNUMBER(G32)),H13-H14-H15,"n.a.")</x:f>
        <x:v>1125</x:v>
      </x:c>
      <x:c r="I16" s="18" t="n">
        <x:f>IF(AND('Inputs'!I40=1,ISNUMBER(H31),ISNUMBER(H32)),I13-I14-I15,"n.a.")</x:f>
        <x:v>1125</x:v>
      </x:c>
      <x:c r="J16" s="18" t="n">
        <x:f>IF(AND('Inputs'!J40=1,ISNUMBER(I31),ISNUMBER(I32)),J13-J14-J15,"n.a.")</x:f>
        <x:v>1125</x:v>
      </x:c>
      <x:c r="K16" s="18" t="n">
        <x:f>IF(AND('Inputs'!K40=1,ISNUMBER(J31),ISNUMBER(J32)),K13-K14-K15,"n.a.")</x:f>
        <x:v>1125</x:v>
      </x:c>
      <x:c r="L16" s="18" t="n">
        <x:f>IF(AND('Inputs'!L40=1,ISNUMBER(K31),ISNUMBER(K32)),L13-L14-L15,"n.a.")</x:f>
        <x:v>1125</x:v>
      </x:c>
      <x:c r="M16" s="18" t="n">
        <x:f>IF(AND('Inputs'!M40=1,ISNUMBER(L31),ISNUMBER(L32)),M13-M14-M15,"n.a.")</x:f>
        <x:v>1125</x:v>
      </x:c>
      <x:c r="N16" s="18" t="n">
        <x:f>IF(AND('Inputs'!N40=1,ISNUMBER(M31),ISNUMBER(M32)),N13-N14-N15,"n.a.")</x:f>
        <x:v>1125</x:v>
      </x:c>
    </x:row>
    <x:row r="17" ht="23" customHeight="1">
      <x:c r="B17" s="1"/>
      <x:c r="C17" s="11"/>
      <x:c r="D17" s="11"/>
      <x:c r="E17" s="11"/>
      <x:c r="F17" s="11"/>
      <x:c r="G17" s="11"/>
      <x:c r="H17" s="11"/>
      <x:c r="I17" s="11"/>
      <x:c r="J17" s="11"/>
      <x:c r="K17" s="11"/>
      <x:c r="L17" s="11"/>
      <x:c r="M17" s="11"/>
      <x:c r="N17" s="11"/>
    </x:row>
    <x:row r="18" ht="23" customHeight="1">
      <x:c r="B18" s="1" t="str">
        <x:v>Whole-unit hours capacity</x:v>
      </x:c>
      <x:c r="C18" s="12" t="n">
        <x:f>IF(AND('Inputs'!C40=1),ROUNDDOWN(C20/'Inputs'!C27,0),"n.a.")</x:f>
        <x:v>1280</x:v>
      </x:c>
      <x:c r="D18" s="12" t="n">
        <x:f>IF(AND('Inputs'!D40=1,ISNUMBER(C31),ISNUMBER(C32)),ROUNDDOWN(D20/'Inputs'!D27,0),"n.a.")</x:f>
        <x:v>1280</x:v>
      </x:c>
      <x:c r="E18" s="12" t="n">
        <x:f>IF(AND('Inputs'!E40=1,ISNUMBER(D31),ISNUMBER(D32)),ROUNDDOWN(E20/'Inputs'!E27,0),"n.a.")</x:f>
        <x:v>1280</x:v>
      </x:c>
      <x:c r="F18" s="12" t="n">
        <x:f>IF(AND('Inputs'!F40=1,ISNUMBER(E31),ISNUMBER(E32)),ROUNDDOWN(F20/'Inputs'!F27,0),"n.a.")</x:f>
        <x:v>1280</x:v>
      </x:c>
      <x:c r="G18" s="12" t="n">
        <x:f>IF(AND('Inputs'!G40=1,ISNUMBER(F31),ISNUMBER(F32)),ROUNDDOWN(G20/'Inputs'!G27,0),"n.a.")</x:f>
        <x:v>1280</x:v>
      </x:c>
      <x:c r="H18" s="12" t="n">
        <x:f>IF(AND('Inputs'!H40=1,ISNUMBER(G31),ISNUMBER(G32)),ROUNDDOWN(H20/'Inputs'!H27,0),"n.a.")</x:f>
        <x:v>1280</x:v>
      </x:c>
      <x:c r="I18" s="12" t="n">
        <x:f>IF(AND('Inputs'!I40=1,ISNUMBER(H31),ISNUMBER(H32)),ROUNDDOWN(I20/'Inputs'!I27,0),"n.a.")</x:f>
        <x:v>1280</x:v>
      </x:c>
      <x:c r="J18" s="12" t="n">
        <x:f>IF(AND('Inputs'!J40=1,ISNUMBER(I31),ISNUMBER(I32)),ROUNDDOWN(J20/'Inputs'!J27,0),"n.a.")</x:f>
        <x:v>1280</x:v>
      </x:c>
      <x:c r="K18" s="12" t="n">
        <x:f>IF(AND('Inputs'!K40=1,ISNUMBER(J31),ISNUMBER(J32)),ROUNDDOWN(K20/'Inputs'!K27,0),"n.a.")</x:f>
        <x:v>1280</x:v>
      </x:c>
      <x:c r="L18" s="12" t="n">
        <x:f>IF(AND('Inputs'!L40=1,ISNUMBER(K31),ISNUMBER(K32)),ROUNDDOWN(L20/'Inputs'!L27,0),"n.a.")</x:f>
        <x:v>1280</x:v>
      </x:c>
      <x:c r="M18" s="12" t="n">
        <x:f>IF(AND('Inputs'!M40=1,ISNUMBER(L31),ISNUMBER(L32)),ROUNDDOWN(M20/'Inputs'!M27,0),"n.a.")</x:f>
        <x:v>1280</x:v>
      </x:c>
      <x:c r="N18" s="12" t="n">
        <x:f>IF(AND('Inputs'!N40=1,ISNUMBER(M31),ISNUMBER(M32)),ROUNDDOWN(N20/'Inputs'!N27,0),"n.a.")</x:f>
        <x:v>1280</x:v>
      </x:c>
    </x:row>
    <x:row r="19" ht="23" customHeight="1">
      <x:c r="B19" s="1" t="str">
        <x:v>Worker-hours required</x:v>
      </x:c>
      <x:c r="C19" s="11" t="n">
        <x:f>IF(AND('Inputs'!C40=1),C10*'Inputs'!C27,"n.a.")</x:f>
        <x:v>50</x:v>
      </x:c>
      <x:c r="D19" s="11" t="n">
        <x:f>IF(AND('Inputs'!D40=1,ISNUMBER(C31),ISNUMBER(C32)),D10*'Inputs'!D27,"n.a.")</x:f>
        <x:v>50</x:v>
      </x:c>
      <x:c r="E19" s="11" t="n">
        <x:f>IF(AND('Inputs'!E40=1,ISNUMBER(D31),ISNUMBER(D32)),E10*'Inputs'!E27,"n.a.")</x:f>
        <x:v>50</x:v>
      </x:c>
      <x:c r="F19" s="11" t="n">
        <x:f>IF(AND('Inputs'!F40=1,ISNUMBER(E31),ISNUMBER(E32)),F10*'Inputs'!F27,"n.a.")</x:f>
        <x:v>50</x:v>
      </x:c>
      <x:c r="G19" s="11" t="n">
        <x:f>IF(AND('Inputs'!G40=1,ISNUMBER(F31),ISNUMBER(F32)),G10*'Inputs'!G27,"n.a.")</x:f>
        <x:v>50</x:v>
      </x:c>
      <x:c r="H19" s="11" t="n">
        <x:f>IF(AND('Inputs'!H40=1,ISNUMBER(G31),ISNUMBER(G32)),H10*'Inputs'!H27,"n.a.")</x:f>
        <x:v>50</x:v>
      </x:c>
      <x:c r="I19" s="11" t="n">
        <x:f>IF(AND('Inputs'!I40=1,ISNUMBER(H31),ISNUMBER(H32)),I10*'Inputs'!I27,"n.a.")</x:f>
        <x:v>50</x:v>
      </x:c>
      <x:c r="J19" s="11" t="n">
        <x:f>IF(AND('Inputs'!J40=1,ISNUMBER(I31),ISNUMBER(I32)),J10*'Inputs'!J27,"n.a.")</x:f>
        <x:v>50</x:v>
      </x:c>
      <x:c r="K19" s="11" t="n">
        <x:f>IF(AND('Inputs'!K40=1,ISNUMBER(J31),ISNUMBER(J32)),K10*'Inputs'!K27,"n.a.")</x:f>
        <x:v>50</x:v>
      </x:c>
      <x:c r="L19" s="11" t="n">
        <x:f>IF(AND('Inputs'!L40=1,ISNUMBER(K31),ISNUMBER(K32)),L10*'Inputs'!L27,"n.a.")</x:f>
        <x:v>50</x:v>
      </x:c>
      <x:c r="M19" s="11" t="n">
        <x:f>IF(AND('Inputs'!M40=1,ISNUMBER(L31),ISNUMBER(L32)),M10*'Inputs'!M27,"n.a.")</x:f>
        <x:v>50</x:v>
      </x:c>
      <x:c r="N19" s="11" t="n">
        <x:f>IF(AND('Inputs'!N40=1,ISNUMBER(M31),ISNUMBER(M32)),N10*'Inputs'!N27,"n.a.")</x:f>
        <x:v>50</x:v>
      </x:c>
    </x:row>
    <x:row r="20" ht="23" customHeight="1">
      <x:c r="B20" s="1" t="str">
        <x:v>Productive worker-hours available</x:v>
      </x:c>
      <x:c r="C20" s="11" t="n">
        <x:f>IF(AND('Inputs'!C40=1),'Inputs'!C28*'Inputs'!C29*'Inputs'!C30,"n.a.")</x:f>
        <x:v>128</x:v>
      </x:c>
      <x:c r="D20" s="11" t="n">
        <x:f>IF(AND('Inputs'!D40=1,ISNUMBER(C31),ISNUMBER(C32)),'Inputs'!D28*'Inputs'!D29*'Inputs'!D30,"n.a.")</x:f>
        <x:v>128</x:v>
      </x:c>
      <x:c r="E20" s="11" t="n">
        <x:f>IF(AND('Inputs'!E40=1,ISNUMBER(D31),ISNUMBER(D32)),'Inputs'!E28*'Inputs'!E29*'Inputs'!E30,"n.a.")</x:f>
        <x:v>128</x:v>
      </x:c>
      <x:c r="F20" s="11" t="n">
        <x:f>IF(AND('Inputs'!F40=1,ISNUMBER(E31),ISNUMBER(E32)),'Inputs'!F28*'Inputs'!F29*'Inputs'!F30,"n.a.")</x:f>
        <x:v>128</x:v>
      </x:c>
      <x:c r="G20" s="11" t="n">
        <x:f>IF(AND('Inputs'!G40=1,ISNUMBER(F31),ISNUMBER(F32)),'Inputs'!G28*'Inputs'!G29*'Inputs'!G30,"n.a.")</x:f>
        <x:v>128</x:v>
      </x:c>
      <x:c r="H20" s="11" t="n">
        <x:f>IF(AND('Inputs'!H40=1,ISNUMBER(G31),ISNUMBER(G32)),'Inputs'!H28*'Inputs'!H29*'Inputs'!H30,"n.a.")</x:f>
        <x:v>128</x:v>
      </x:c>
      <x:c r="I20" s="11" t="n">
        <x:f>IF(AND('Inputs'!I40=1,ISNUMBER(H31),ISNUMBER(H32)),'Inputs'!I28*'Inputs'!I29*'Inputs'!I30,"n.a.")</x:f>
        <x:v>128</x:v>
      </x:c>
      <x:c r="J20" s="11" t="n">
        <x:f>IF(AND('Inputs'!J40=1,ISNUMBER(I31),ISNUMBER(I32)),'Inputs'!J28*'Inputs'!J29*'Inputs'!J30,"n.a.")</x:f>
        <x:v>128</x:v>
      </x:c>
      <x:c r="K20" s="11" t="n">
        <x:f>IF(AND('Inputs'!K40=1,ISNUMBER(J31),ISNUMBER(J32)),'Inputs'!K28*'Inputs'!K29*'Inputs'!K30,"n.a.")</x:f>
        <x:v>128</x:v>
      </x:c>
      <x:c r="L20" s="11" t="n">
        <x:f>IF(AND('Inputs'!L40=1,ISNUMBER(K31),ISNUMBER(K32)),'Inputs'!L28*'Inputs'!L29*'Inputs'!L30,"n.a.")</x:f>
        <x:v>128</x:v>
      </x:c>
      <x:c r="M20" s="11" t="n">
        <x:f>IF(AND('Inputs'!M40=1,ISNUMBER(L31),ISNUMBER(L32)),'Inputs'!M28*'Inputs'!M29*'Inputs'!M30,"n.a.")</x:f>
        <x:v>128</x:v>
      </x:c>
      <x:c r="N20" s="11" t="n">
        <x:f>IF(AND('Inputs'!N40=1,ISNUMBER(M31),ISNUMBER(M32)),'Inputs'!N28*'Inputs'!N29*'Inputs'!N30,"n.a.")</x:f>
        <x:v>128</x:v>
      </x:c>
    </x:row>
    <x:row r="21" ht="34" customHeight="1">
      <x:c r="B21" s="1" t="str">
        <x:v>Hours capacity status</x:v>
      </x:c>
      <x:c r="C21" s="13" t="str">
        <x:f>IF(AND('Inputs'!C40=1),IF(C10&lt;0,"Invalid client cohort",IF(C10&lt;&gt;INT(C10),"Whole units required",IF(C10&gt;C18,"Above capacity","Fits stated hours"))),"n.a.")</x:f>
        <x:v>Fits stated hours</x:v>
      </x:c>
      <x:c r="D21" s="13" t="str">
        <x:f>IF(AND('Inputs'!D40=1,ISNUMBER(C31),ISNUMBER(C32)),IF(D10&lt;0,"Invalid client cohort",IF(D10&lt;&gt;INT(D10),"Whole units required",IF(D10&gt;D18,"Above capacity","Fits stated hours"))),"n.a.")</x:f>
        <x:v>Fits stated hours</x:v>
      </x:c>
      <x:c r="E21" s="13" t="str">
        <x:f>IF(AND('Inputs'!E40=1,ISNUMBER(D31),ISNUMBER(D32)),IF(E10&lt;0,"Invalid client cohort",IF(E10&lt;&gt;INT(E10),"Whole units required",IF(E10&gt;E18,"Above capacity","Fits stated hours"))),"n.a.")</x:f>
        <x:v>Fits stated hours</x:v>
      </x:c>
      <x:c r="F21" s="13" t="str">
        <x:f>IF(AND('Inputs'!F40=1,ISNUMBER(E31),ISNUMBER(E32)),IF(F10&lt;0,"Invalid client cohort",IF(F10&lt;&gt;INT(F10),"Whole units required",IF(F10&gt;F18,"Above capacity","Fits stated hours"))),"n.a.")</x:f>
        <x:v>Fits stated hours</x:v>
      </x:c>
      <x:c r="G21" s="13" t="str">
        <x:f>IF(AND('Inputs'!G40=1,ISNUMBER(F31),ISNUMBER(F32)),IF(G10&lt;0,"Invalid client cohort",IF(G10&lt;&gt;INT(G10),"Whole units required",IF(G10&gt;G18,"Above capacity","Fits stated hours"))),"n.a.")</x:f>
        <x:v>Fits stated hours</x:v>
      </x:c>
      <x:c r="H21" s="13" t="str">
        <x:f>IF(AND('Inputs'!H40=1,ISNUMBER(G31),ISNUMBER(G32)),IF(H10&lt;0,"Invalid client cohort",IF(H10&lt;&gt;INT(H10),"Whole units required",IF(H10&gt;H18,"Above capacity","Fits stated hours"))),"n.a.")</x:f>
        <x:v>Fits stated hours</x:v>
      </x:c>
      <x:c r="I21" s="13" t="str">
        <x:f>IF(AND('Inputs'!I40=1,ISNUMBER(H31),ISNUMBER(H32)),IF(I10&lt;0,"Invalid client cohort",IF(I10&lt;&gt;INT(I10),"Whole units required",IF(I10&gt;I18,"Above capacity","Fits stated hours"))),"n.a.")</x:f>
        <x:v>Fits stated hours</x:v>
      </x:c>
      <x:c r="J21" s="13" t="str">
        <x:f>IF(AND('Inputs'!J40=1,ISNUMBER(I31),ISNUMBER(I32)),IF(J10&lt;0,"Invalid client cohort",IF(J10&lt;&gt;INT(J10),"Whole units required",IF(J10&gt;J18,"Above capacity","Fits stated hours"))),"n.a.")</x:f>
        <x:v>Fits stated hours</x:v>
      </x:c>
      <x:c r="K21" s="13" t="str">
        <x:f>IF(AND('Inputs'!K40=1,ISNUMBER(J31),ISNUMBER(J32)),IF(K10&lt;0,"Invalid client cohort",IF(K10&lt;&gt;INT(K10),"Whole units required",IF(K10&gt;K18,"Above capacity","Fits stated hours"))),"n.a.")</x:f>
        <x:v>Fits stated hours</x:v>
      </x:c>
      <x:c r="L21" s="13" t="str">
        <x:f>IF(AND('Inputs'!L40=1,ISNUMBER(K31),ISNUMBER(K32)),IF(L10&lt;0,"Invalid client cohort",IF(L10&lt;&gt;INT(L10),"Whole units required",IF(L10&gt;L18,"Above capacity","Fits stated hours"))),"n.a.")</x:f>
        <x:v>Fits stated hours</x:v>
      </x:c>
      <x:c r="M21" s="13" t="str">
        <x:f>IF(AND('Inputs'!M40=1,ISNUMBER(L31),ISNUMBER(L32)),IF(M10&lt;0,"Invalid client cohort",IF(M10&lt;&gt;INT(M10),"Whole units required",IF(M10&gt;M18,"Above capacity","Fits stated hours"))),"n.a.")</x:f>
        <x:v>Fits stated hours</x:v>
      </x:c>
      <x:c r="N21" s="13" t="str">
        <x:f>IF(AND('Inputs'!N40=1,ISNUMBER(M31),ISNUMBER(M32)),IF(N10&lt;0,"Invalid client cohort",IF(N10&lt;&gt;INT(N10),"Whole units required",IF(N10&gt;N18,"Above capacity","Fits stated hours"))),"n.a.")</x:f>
        <x:v>Fits stated hours</x:v>
      </x:c>
    </x:row>
    <x:row r="22" ht="23" customHeight="1">
      <x:c r="B22" s="1"/>
      <x:c r="C22" s="11"/>
      <x:c r="D22" s="11"/>
      <x:c r="E22" s="11"/>
      <x:c r="F22" s="11"/>
      <x:c r="G22" s="11"/>
      <x:c r="H22" s="11"/>
      <x:c r="I22" s="11"/>
      <x:c r="J22" s="11"/>
      <x:c r="K22" s="11"/>
      <x:c r="L22" s="11"/>
      <x:c r="M22" s="11"/>
      <x:c r="N22" s="11"/>
    </x:row>
    <x:row r="23" ht="23" customHeight="1">
      <x:c r="B23" s="1" t="str">
        <x:v>Opening cash (USD)</x:v>
      </x:c>
      <x:c r="C23" s="11" t="n">
        <x:f>IF(AND('Inputs'!C40=1),'Inputs'!C20,"n.a.")</x:f>
        <x:v>20000</x:v>
      </x:c>
      <x:c r="D23" s="11" t="n">
        <x:f>IF(AND('Inputs'!D40=1,ISNUMBER(C31),ISNUMBER(C32)),C31,"n.a.")</x:f>
        <x:v>16625</x:v>
      </x:c>
      <x:c r="E23" s="11" t="n">
        <x:f>IF(AND('Inputs'!E40=1,ISNUMBER(D31),ISNUMBER(D32)),D31,"n.a.")</x:f>
        <x:v>17750</x:v>
      </x:c>
      <x:c r="F23" s="11" t="n">
        <x:f>IF(AND('Inputs'!F40=1,ISNUMBER(E31),ISNUMBER(E32)),E31,"n.a.")</x:f>
        <x:v>18875</x:v>
      </x:c>
      <x:c r="G23" s="11" t="n">
        <x:f>IF(AND('Inputs'!G40=1,ISNUMBER(F31),ISNUMBER(F32)),F31,"n.a.")</x:f>
        <x:v>20000</x:v>
      </x:c>
      <x:c r="H23" s="11" t="n">
        <x:f>IF(AND('Inputs'!H40=1,ISNUMBER(G31),ISNUMBER(G32)),G31,"n.a.")</x:f>
        <x:v>21125</x:v>
      </x:c>
      <x:c r="I23" s="11" t="n">
        <x:f>IF(AND('Inputs'!I40=1,ISNUMBER(H31),ISNUMBER(H32)),H31,"n.a.")</x:f>
        <x:v>22250</x:v>
      </x:c>
      <x:c r="J23" s="11" t="n">
        <x:f>IF(AND('Inputs'!J40=1,ISNUMBER(I31),ISNUMBER(I32)),I31,"n.a.")</x:f>
        <x:v>23375</x:v>
      </x:c>
      <x:c r="K23" s="11" t="n">
        <x:f>IF(AND('Inputs'!K40=1,ISNUMBER(J31),ISNUMBER(J32)),J31,"n.a.")</x:f>
        <x:v>24500</x:v>
      </x:c>
      <x:c r="L23" s="11" t="n">
        <x:f>IF(AND('Inputs'!L40=1,ISNUMBER(K31),ISNUMBER(K32)),K31,"n.a.")</x:f>
        <x:v>25625</x:v>
      </x:c>
      <x:c r="M23" s="11" t="n">
        <x:f>IF(AND('Inputs'!M40=1,ISNUMBER(L31),ISNUMBER(L32)),L31,"n.a.")</x:f>
        <x:v>26750</x:v>
      </x:c>
      <x:c r="N23" s="11" t="n">
        <x:f>IF(AND('Inputs'!N40=1,ISNUMBER(M31),ISNUMBER(M32)),M31,"n.a.")</x:f>
        <x:v>27875</x:v>
      </x:c>
    </x:row>
    <x:row r="24" ht="23" customHeight="1">
      <x:c r="B24" s="1" t="str">
        <x:v>Customer receipts (USD)</x:v>
      </x:c>
      <x:c r="C24" s="11" t="n">
        <x:f>IF(AND('Inputs'!C40=1),C11*'Inputs'!C19+'Inputs'!C21,"n.a.")</x:f>
        <x:v>22500</x:v>
      </x:c>
      <x:c r="D24" s="11" t="n">
        <x:f>IF(AND('Inputs'!D40=1,ISNUMBER(C31),ISNUMBER(C32)),D11*'Inputs'!D19+C32,"n.a.")</x:f>
        <x:v>25000</x:v>
      </x:c>
      <x:c r="E24" s="11" t="n">
        <x:f>IF(AND('Inputs'!E40=1,ISNUMBER(D31),ISNUMBER(D32)),E11*'Inputs'!E19+D32,"n.a.")</x:f>
        <x:v>25000</x:v>
      </x:c>
      <x:c r="F24" s="11" t="n">
        <x:f>IF(AND('Inputs'!F40=1,ISNUMBER(E31),ISNUMBER(E32)),F11*'Inputs'!F19+E32,"n.a.")</x:f>
        <x:v>25000</x:v>
      </x:c>
      <x:c r="G24" s="11" t="n">
        <x:f>IF(AND('Inputs'!G40=1,ISNUMBER(F31),ISNUMBER(F32)),G11*'Inputs'!G19+F32,"n.a.")</x:f>
        <x:v>25000</x:v>
      </x:c>
      <x:c r="H24" s="11" t="n">
        <x:f>IF(AND('Inputs'!H40=1,ISNUMBER(G31),ISNUMBER(G32)),H11*'Inputs'!H19+G32,"n.a.")</x:f>
        <x:v>25000</x:v>
      </x:c>
      <x:c r="I24" s="11" t="n">
        <x:f>IF(AND('Inputs'!I40=1,ISNUMBER(H31),ISNUMBER(H32)),I11*'Inputs'!I19+H32,"n.a.")</x:f>
        <x:v>25000</x:v>
      </x:c>
      <x:c r="J24" s="11" t="n">
        <x:f>IF(AND('Inputs'!J40=1,ISNUMBER(I31),ISNUMBER(I32)),J11*'Inputs'!J19+I32,"n.a.")</x:f>
        <x:v>25000</x:v>
      </x:c>
      <x:c r="K24" s="11" t="n">
        <x:f>IF(AND('Inputs'!K40=1,ISNUMBER(J31),ISNUMBER(J32)),K11*'Inputs'!K19+J32,"n.a.")</x:f>
        <x:v>25000</x:v>
      </x:c>
      <x:c r="L24" s="11" t="n">
        <x:f>IF(AND('Inputs'!L40=1,ISNUMBER(K31),ISNUMBER(K32)),L11*'Inputs'!L19+K32,"n.a.")</x:f>
        <x:v>25000</x:v>
      </x:c>
      <x:c r="M24" s="11" t="n">
        <x:f>IF(AND('Inputs'!M40=1,ISNUMBER(L31),ISNUMBER(L32)),M11*'Inputs'!M19+L32,"n.a.")</x:f>
        <x:v>25000</x:v>
      </x:c>
      <x:c r="N24" s="11" t="n">
        <x:f>IF(AND('Inputs'!N40=1,ISNUMBER(M31),ISNUMBER(M32)),N11*'Inputs'!N19+M32,"n.a.")</x:f>
        <x:v>25000</x:v>
      </x:c>
    </x:row>
    <x:row r="25" ht="23" customHeight="1">
      <x:c r="B25" s="1" t="str">
        <x:v>Direct cash excluding stock purchases (USD)</x:v>
      </x:c>
      <x:c r="C25" s="11" t="n">
        <x:f>IF(AND('Inputs'!C40=1),C12-C10*'Inputs'!C10,"n.a.")</x:f>
        <x:v>8875</x:v>
      </x:c>
      <x:c r="D25" s="11" t="n">
        <x:f>IF(AND('Inputs'!D40=1,ISNUMBER(C31),ISNUMBER(C32)),D12-D10*'Inputs'!D10,"n.a.")</x:f>
        <x:v>8875</x:v>
      </x:c>
      <x:c r="E25" s="11" t="n">
        <x:f>IF(AND('Inputs'!E40=1,ISNUMBER(D31),ISNUMBER(D32)),E12-E10*'Inputs'!E10,"n.a.")</x:f>
        <x:v>8875</x:v>
      </x:c>
      <x:c r="F25" s="11" t="n">
        <x:f>IF(AND('Inputs'!F40=1,ISNUMBER(E31),ISNUMBER(E32)),F12-F10*'Inputs'!F10,"n.a.")</x:f>
        <x:v>8875</x:v>
      </x:c>
      <x:c r="G25" s="11" t="n">
        <x:f>IF(AND('Inputs'!G40=1,ISNUMBER(F31),ISNUMBER(F32)),G12-G10*'Inputs'!G10,"n.a.")</x:f>
        <x:v>8875</x:v>
      </x:c>
      <x:c r="H25" s="11" t="n">
        <x:f>IF(AND('Inputs'!H40=1,ISNUMBER(G31),ISNUMBER(G32)),H12-H10*'Inputs'!H10,"n.a.")</x:f>
        <x:v>8875</x:v>
      </x:c>
      <x:c r="I25" s="11" t="n">
        <x:f>IF(AND('Inputs'!I40=1,ISNUMBER(H31),ISNUMBER(H32)),I12-I10*'Inputs'!I10,"n.a.")</x:f>
        <x:v>8875</x:v>
      </x:c>
      <x:c r="J25" s="11" t="n">
        <x:f>IF(AND('Inputs'!J40=1,ISNUMBER(I31),ISNUMBER(I32)),J12-J10*'Inputs'!J10,"n.a.")</x:f>
        <x:v>8875</x:v>
      </x:c>
      <x:c r="K25" s="11" t="n">
        <x:f>IF(AND('Inputs'!K40=1,ISNUMBER(J31),ISNUMBER(J32)),K12-K10*'Inputs'!K10,"n.a.")</x:f>
        <x:v>8875</x:v>
      </x:c>
      <x:c r="L25" s="11" t="n">
        <x:f>IF(AND('Inputs'!L40=1,ISNUMBER(K31),ISNUMBER(K32)),L12-L10*'Inputs'!L10,"n.a.")</x:f>
        <x:v>8875</x:v>
      </x:c>
      <x:c r="M25" s="11" t="n">
        <x:f>IF(AND('Inputs'!M40=1,ISNUMBER(L31),ISNUMBER(L32)),M12-M10*'Inputs'!M10,"n.a.")</x:f>
        <x:v>8875</x:v>
      </x:c>
      <x:c r="N25" s="11" t="n">
        <x:f>IF(AND('Inputs'!N40=1,ISNUMBER(M31),ISNUMBER(M32)),N12-N10*'Inputs'!N10,"n.a.")</x:f>
        <x:v>8875</x:v>
      </x:c>
    </x:row>
    <x:row r="26" ht="23" customHeight="1">
      <x:c r="B26" s="1" t="str">
        <x:v>Stock purchases paid (USD)</x:v>
      </x:c>
      <x:c r="C26" s="11" t="n">
        <x:f>IF(AND('Inputs'!C40=1),'Inputs'!C17*'Inputs'!C10,"n.a.")</x:f>
        <x:v>12000</x:v>
      </x:c>
      <x:c r="D26" s="11" t="n">
        <x:f>IF(AND('Inputs'!D40=1,ISNUMBER(C31),ISNUMBER(C32)),'Inputs'!D17*'Inputs'!D10,"n.a.")</x:f>
        <x:v>10000</x:v>
      </x:c>
      <x:c r="E26" s="11" t="n">
        <x:f>IF(AND('Inputs'!E40=1,ISNUMBER(D31),ISNUMBER(D32)),'Inputs'!E17*'Inputs'!E10,"n.a.")</x:f>
        <x:v>10000</x:v>
      </x:c>
      <x:c r="F26" s="11" t="n">
        <x:f>IF(AND('Inputs'!F40=1,ISNUMBER(E31),ISNUMBER(E32)),'Inputs'!F17*'Inputs'!F10,"n.a.")</x:f>
        <x:v>10000</x:v>
      </x:c>
      <x:c r="G26" s="11" t="n">
        <x:f>IF(AND('Inputs'!G40=1,ISNUMBER(F31),ISNUMBER(F32)),'Inputs'!G17*'Inputs'!G10,"n.a.")</x:f>
        <x:v>10000</x:v>
      </x:c>
      <x:c r="H26" s="11" t="n">
        <x:f>IF(AND('Inputs'!H40=1,ISNUMBER(G31),ISNUMBER(G32)),'Inputs'!H17*'Inputs'!H10,"n.a.")</x:f>
        <x:v>10000</x:v>
      </x:c>
      <x:c r="I26" s="11" t="n">
        <x:f>IF(AND('Inputs'!I40=1,ISNUMBER(H31),ISNUMBER(H32)),'Inputs'!I17*'Inputs'!I10,"n.a.")</x:f>
        <x:v>10000</x:v>
      </x:c>
      <x:c r="J26" s="11" t="n">
        <x:f>IF(AND('Inputs'!J40=1,ISNUMBER(I31),ISNUMBER(I32)),'Inputs'!J17*'Inputs'!J10,"n.a.")</x:f>
        <x:v>10000</x:v>
      </x:c>
      <x:c r="K26" s="11" t="n">
        <x:f>IF(AND('Inputs'!K40=1,ISNUMBER(J31),ISNUMBER(J32)),'Inputs'!K17*'Inputs'!K10,"n.a.")</x:f>
        <x:v>10000</x:v>
      </x:c>
      <x:c r="L26" s="11" t="n">
        <x:f>IF(AND('Inputs'!L40=1,ISNUMBER(K31),ISNUMBER(K32)),'Inputs'!L17*'Inputs'!L10,"n.a.")</x:f>
        <x:v>10000</x:v>
      </x:c>
      <x:c r="M26" s="11" t="n">
        <x:f>IF(AND('Inputs'!M40=1,ISNUMBER(L31),ISNUMBER(L32)),'Inputs'!M17*'Inputs'!M10,"n.a.")</x:f>
        <x:v>10000</x:v>
      </x:c>
      <x:c r="N26" s="11" t="n">
        <x:f>IF(AND('Inputs'!N40=1,ISNUMBER(M31),ISNUMBER(M32)),'Inputs'!N17*'Inputs'!N10,"n.a.")</x:f>
        <x:v>10000</x:v>
      </x:c>
    </x:row>
    <x:row r="27" ht="23" customHeight="1">
      <x:c r="B27" s="1" t="str">
        <x:v>Fixed commitments paid (USD)</x:v>
      </x:c>
      <x:c r="C27" s="11" t="n">
        <x:f>IF(AND('Inputs'!C40=1),C14,"n.a.")</x:f>
        <x:v>5000</x:v>
      </x:c>
      <x:c r="D27" s="11" t="n">
        <x:f>IF(AND('Inputs'!D40=1,ISNUMBER(C31),ISNUMBER(C32)),D14,"n.a.")</x:f>
        <x:v>5000</x:v>
      </x:c>
      <x:c r="E27" s="11" t="n">
        <x:f>IF(AND('Inputs'!E40=1,ISNUMBER(D31),ISNUMBER(D32)),E14,"n.a.")</x:f>
        <x:v>5000</x:v>
      </x:c>
      <x:c r="F27" s="11" t="n">
        <x:f>IF(AND('Inputs'!F40=1,ISNUMBER(E31),ISNUMBER(E32)),F14,"n.a.")</x:f>
        <x:v>5000</x:v>
      </x:c>
      <x:c r="G27" s="11" t="n">
        <x:f>IF(AND('Inputs'!G40=1,ISNUMBER(F31),ISNUMBER(F32)),G14,"n.a.")</x:f>
        <x:v>5000</x:v>
      </x:c>
      <x:c r="H27" s="11" t="n">
        <x:f>IF(AND('Inputs'!H40=1,ISNUMBER(G31),ISNUMBER(G32)),H14,"n.a.")</x:f>
        <x:v>5000</x:v>
      </x:c>
      <x:c r="I27" s="11" t="n">
        <x:f>IF(AND('Inputs'!I40=1,ISNUMBER(H31),ISNUMBER(H32)),I14,"n.a.")</x:f>
        <x:v>5000</x:v>
      </x:c>
      <x:c r="J27" s="11" t="n">
        <x:f>IF(AND('Inputs'!J40=1,ISNUMBER(I31),ISNUMBER(I32)),J14,"n.a.")</x:f>
        <x:v>5000</x:v>
      </x:c>
      <x:c r="K27" s="11" t="n">
        <x:f>IF(AND('Inputs'!K40=1,ISNUMBER(J31),ISNUMBER(J32)),K14,"n.a.")</x:f>
        <x:v>5000</x:v>
      </x:c>
      <x:c r="L27" s="11" t="n">
        <x:f>IF(AND('Inputs'!L40=1,ISNUMBER(K31),ISNUMBER(K32)),L14,"n.a.")</x:f>
        <x:v>5000</x:v>
      </x:c>
      <x:c r="M27" s="11" t="n">
        <x:f>IF(AND('Inputs'!M40=1,ISNUMBER(L31),ISNUMBER(L32)),M14,"n.a.")</x:f>
        <x:v>5000</x:v>
      </x:c>
      <x:c r="N27" s="11" t="n">
        <x:f>IF(AND('Inputs'!N40=1,ISNUMBER(M31),ISNUMBER(M32)),N14,"n.a.")</x:f>
        <x:v>5000</x:v>
      </x:c>
    </x:row>
    <x:row r="28" ht="23" customHeight="1">
      <x:c r="B28" s="1" t="str">
        <x:v>Additional owner pay paid (USD)</x:v>
      </x:c>
      <x:c r="C28" s="11" t="n">
        <x:f>IF(AND('Inputs'!C40=1),C15,"n.a.")</x:f>
        <x:v>0</x:v>
      </x:c>
      <x:c r="D28" s="11" t="n">
        <x:f>IF(AND('Inputs'!D40=1,ISNUMBER(C31),ISNUMBER(C32)),D15,"n.a.")</x:f>
        <x:v>0</x:v>
      </x:c>
      <x:c r="E28" s="11" t="n">
        <x:f>IF(AND('Inputs'!E40=1,ISNUMBER(D31),ISNUMBER(D32)),E15,"n.a.")</x:f>
        <x:v>0</x:v>
      </x:c>
      <x:c r="F28" s="11" t="n">
        <x:f>IF(AND('Inputs'!F40=1,ISNUMBER(E31),ISNUMBER(E32)),F15,"n.a.")</x:f>
        <x:v>0</x:v>
      </x:c>
      <x:c r="G28" s="11" t="n">
        <x:f>IF(AND('Inputs'!G40=1,ISNUMBER(F31),ISNUMBER(F32)),G15,"n.a.")</x:f>
        <x:v>0</x:v>
      </x:c>
      <x:c r="H28" s="11" t="n">
        <x:f>IF(AND('Inputs'!H40=1,ISNUMBER(G31),ISNUMBER(G32)),H15,"n.a.")</x:f>
        <x:v>0</x:v>
      </x:c>
      <x:c r="I28" s="11" t="n">
        <x:f>IF(AND('Inputs'!I40=1,ISNUMBER(H31),ISNUMBER(H32)),I15,"n.a.")</x:f>
        <x:v>0</x:v>
      </x:c>
      <x:c r="J28" s="11" t="n">
        <x:f>IF(AND('Inputs'!J40=1,ISNUMBER(I31),ISNUMBER(I32)),J15,"n.a.")</x:f>
        <x:v>0</x:v>
      </x:c>
      <x:c r="K28" s="11" t="n">
        <x:f>IF(AND('Inputs'!K40=1,ISNUMBER(J31),ISNUMBER(J32)),K15,"n.a.")</x:f>
        <x:v>0</x:v>
      </x:c>
      <x:c r="L28" s="11" t="n">
        <x:f>IF(AND('Inputs'!L40=1,ISNUMBER(K31),ISNUMBER(K32)),L15,"n.a.")</x:f>
        <x:v>0</x:v>
      </x:c>
      <x:c r="M28" s="11" t="n">
        <x:f>IF(AND('Inputs'!M40=1,ISNUMBER(L31),ISNUMBER(L32)),M15,"n.a.")</x:f>
        <x:v>0</x:v>
      </x:c>
      <x:c r="N28" s="11" t="n">
        <x:f>IF(AND('Inputs'!N40=1,ISNUMBER(M31),ISNUMBER(M32)),N15,"n.a.")</x:f>
        <x:v>0</x:v>
      </x:c>
    </x:row>
    <x:row r="29" ht="23" customHeight="1">
      <x:c r="B29" s="1" t="str">
        <x:v>Equipment, principal, tax and other cash</x:v>
      </x:c>
      <x:c r="C29" s="11" t="n">
        <x:f>IF(AND('Inputs'!C40=1),SUM('Inputs'!C22:C25),"n.a.")</x:f>
        <x:v>0</x:v>
      </x:c>
      <x:c r="D29" s="11" t="n">
        <x:f>IF(AND('Inputs'!D40=1,ISNUMBER(C31),ISNUMBER(C32)),SUM('Inputs'!D22:D25),"n.a.")</x:f>
        <x:v>0</x:v>
      </x:c>
      <x:c r="E29" s="11" t="n">
        <x:f>IF(AND('Inputs'!E40=1,ISNUMBER(D31),ISNUMBER(D32)),SUM('Inputs'!E22:E25),"n.a.")</x:f>
        <x:v>0</x:v>
      </x:c>
      <x:c r="F29" s="11" t="n">
        <x:f>IF(AND('Inputs'!F40=1,ISNUMBER(E31),ISNUMBER(E32)),SUM('Inputs'!F22:F25),"n.a.")</x:f>
        <x:v>0</x:v>
      </x:c>
      <x:c r="G29" s="11" t="n">
        <x:f>IF(AND('Inputs'!G40=1,ISNUMBER(F31),ISNUMBER(F32)),SUM('Inputs'!G22:G25),"n.a.")</x:f>
        <x:v>0</x:v>
      </x:c>
      <x:c r="H29" s="11" t="n">
        <x:f>IF(AND('Inputs'!H40=1,ISNUMBER(G31),ISNUMBER(G32)),SUM('Inputs'!H22:H25),"n.a.")</x:f>
        <x:v>0</x:v>
      </x:c>
      <x:c r="I29" s="11" t="n">
        <x:f>IF(AND('Inputs'!I40=1,ISNUMBER(H31),ISNUMBER(H32)),SUM('Inputs'!I22:I25),"n.a.")</x:f>
        <x:v>0</x:v>
      </x:c>
      <x:c r="J29" s="11" t="n">
        <x:f>IF(AND('Inputs'!J40=1,ISNUMBER(I31),ISNUMBER(I32)),SUM('Inputs'!J22:J25),"n.a.")</x:f>
        <x:v>0</x:v>
      </x:c>
      <x:c r="K29" s="11" t="n">
        <x:f>IF(AND('Inputs'!K40=1,ISNUMBER(J31),ISNUMBER(J32)),SUM('Inputs'!K22:K25),"n.a.")</x:f>
        <x:v>0</x:v>
      </x:c>
      <x:c r="L29" s="11" t="n">
        <x:f>IF(AND('Inputs'!L40=1,ISNUMBER(K31),ISNUMBER(K32)),SUM('Inputs'!L22:L25),"n.a.")</x:f>
        <x:v>0</x:v>
      </x:c>
      <x:c r="M29" s="11" t="n">
        <x:f>IF(AND('Inputs'!M40=1,ISNUMBER(L31),ISNUMBER(L32)),SUM('Inputs'!M22:M25),"n.a.")</x:f>
        <x:v>0</x:v>
      </x:c>
      <x:c r="N29" s="11" t="n">
        <x:f>IF(AND('Inputs'!N40=1,ISNUMBER(M31),ISNUMBER(M32)),SUM('Inputs'!N22:N25),"n.a.")</x:f>
        <x:v>0</x:v>
      </x:c>
    </x:row>
    <x:row r="30" ht="23" customHeight="1">
      <x:c r="B30" s="1" t="str">
        <x:v>Net cash change (USD)</x:v>
      </x:c>
      <x:c r="C30" s="11" t="n">
        <x:f>IF(AND('Inputs'!C40=1),C24-SUM(C25:C29),"n.a.")</x:f>
        <x:v>-3375</x:v>
      </x:c>
      <x:c r="D30" s="11" t="n">
        <x:f>IF(AND('Inputs'!D40=1,ISNUMBER(C31),ISNUMBER(C32)),D24-SUM(D25:D29),"n.a.")</x:f>
        <x:v>1125</x:v>
      </x:c>
      <x:c r="E30" s="11" t="n">
        <x:f>IF(AND('Inputs'!E40=1,ISNUMBER(D31),ISNUMBER(D32)),E24-SUM(E25:E29),"n.a.")</x:f>
        <x:v>1125</x:v>
      </x:c>
      <x:c r="F30" s="11" t="n">
        <x:f>IF(AND('Inputs'!F40=1,ISNUMBER(E31),ISNUMBER(E32)),F24-SUM(F25:F29),"n.a.")</x:f>
        <x:v>1125</x:v>
      </x:c>
      <x:c r="G30" s="11" t="n">
        <x:f>IF(AND('Inputs'!G40=1,ISNUMBER(F31),ISNUMBER(F32)),G24-SUM(G25:G29),"n.a.")</x:f>
        <x:v>1125</x:v>
      </x:c>
      <x:c r="H30" s="11" t="n">
        <x:f>IF(AND('Inputs'!H40=1,ISNUMBER(G31),ISNUMBER(G32)),H24-SUM(H25:H29),"n.a.")</x:f>
        <x:v>1125</x:v>
      </x:c>
      <x:c r="I30" s="11" t="n">
        <x:f>IF(AND('Inputs'!I40=1,ISNUMBER(H31),ISNUMBER(H32)),I24-SUM(I25:I29),"n.a.")</x:f>
        <x:v>1125</x:v>
      </x:c>
      <x:c r="J30" s="11" t="n">
        <x:f>IF(AND('Inputs'!J40=1,ISNUMBER(I31),ISNUMBER(I32)),J24-SUM(J25:J29),"n.a.")</x:f>
        <x:v>1125</x:v>
      </x:c>
      <x:c r="K30" s="11" t="n">
        <x:f>IF(AND('Inputs'!K40=1,ISNUMBER(J31),ISNUMBER(J32)),K24-SUM(K25:K29),"n.a.")</x:f>
        <x:v>1125</x:v>
      </x:c>
      <x:c r="L30" s="11" t="n">
        <x:f>IF(AND('Inputs'!L40=1,ISNUMBER(K31),ISNUMBER(K32)),L24-SUM(L25:L29),"n.a.")</x:f>
        <x:v>1125</x:v>
      </x:c>
      <x:c r="M30" s="11" t="n">
        <x:f>IF(AND('Inputs'!M40=1,ISNUMBER(L31),ISNUMBER(L32)),M24-SUM(M25:M29),"n.a.")</x:f>
        <x:v>1125</x:v>
      </x:c>
      <x:c r="N30" s="11" t="n">
        <x:f>IF(AND('Inputs'!N40=1,ISNUMBER(M31),ISNUMBER(M32)),N24-SUM(N25:N29),"n.a.")</x:f>
        <x:v>1125</x:v>
      </x:c>
    </x:row>
    <x:row r="31" ht="23" customHeight="1">
      <x:c r="B31" s="17" t="str">
        <x:v>Closing cash (USD)</x:v>
      </x:c>
      <x:c r="C31" s="18" t="n">
        <x:f>IF(AND('Inputs'!C40=1),C23+C30,"n.a.")</x:f>
        <x:v>16625</x:v>
      </x:c>
      <x:c r="D31" s="18" t="n">
        <x:f>IF(AND('Inputs'!D40=1,ISNUMBER(C31),ISNUMBER(C32)),D23+D30,"n.a.")</x:f>
        <x:v>17750</x:v>
      </x:c>
      <x:c r="E31" s="18" t="n">
        <x:f>IF(AND('Inputs'!E40=1,ISNUMBER(D31),ISNUMBER(D32)),E23+E30,"n.a.")</x:f>
        <x:v>18875</x:v>
      </x:c>
      <x:c r="F31" s="18" t="n">
        <x:f>IF(AND('Inputs'!F40=1,ISNUMBER(E31),ISNUMBER(E32)),F23+F30,"n.a.")</x:f>
        <x:v>20000</x:v>
      </x:c>
      <x:c r="G31" s="18" t="n">
        <x:f>IF(AND('Inputs'!G40=1,ISNUMBER(F31),ISNUMBER(F32)),G23+G30,"n.a.")</x:f>
        <x:v>21125</x:v>
      </x:c>
      <x:c r="H31" s="18" t="n">
        <x:f>IF(AND('Inputs'!H40=1,ISNUMBER(G31),ISNUMBER(G32)),H23+H30,"n.a.")</x:f>
        <x:v>22250</x:v>
      </x:c>
      <x:c r="I31" s="18" t="n">
        <x:f>IF(AND('Inputs'!I40=1,ISNUMBER(H31),ISNUMBER(H32)),I23+I30,"n.a.")</x:f>
        <x:v>23375</x:v>
      </x:c>
      <x:c r="J31" s="18" t="n">
        <x:f>IF(AND('Inputs'!J40=1,ISNUMBER(I31),ISNUMBER(I32)),J23+J30,"n.a.")</x:f>
        <x:v>24500</x:v>
      </x:c>
      <x:c r="K31" s="18" t="n">
        <x:f>IF(AND('Inputs'!K40=1,ISNUMBER(J31),ISNUMBER(J32)),K23+K30,"n.a.")</x:f>
        <x:v>25625</x:v>
      </x:c>
      <x:c r="L31" s="18" t="n">
        <x:f>IF(AND('Inputs'!L40=1,ISNUMBER(K31),ISNUMBER(K32)),L23+L30,"n.a.")</x:f>
        <x:v>26750</x:v>
      </x:c>
      <x:c r="M31" s="18" t="n">
        <x:f>IF(AND('Inputs'!M40=1,ISNUMBER(L31),ISNUMBER(L32)),M23+M30,"n.a.")</x:f>
        <x:v>27875</x:v>
      </x:c>
      <x:c r="N31" s="18" t="n">
        <x:f>IF(AND('Inputs'!N40=1,ISNUMBER(M31),ISNUMBER(M32)),N23+N30,"n.a.")</x:f>
        <x:v>29000</x:v>
      </x:c>
    </x:row>
    <x:row r="32" ht="23" customHeight="1">
      <x:c r="B32" s="1" t="str">
        <x:v>Closing receivables / unsettled sales</x:v>
      </x:c>
      <x:c r="C32" s="11" t="n">
        <x:f>IF(AND('Inputs'!C40=1),C11*(1-'Inputs'!C19),"n.a.")</x:f>
        <x:v>2499.9999999999995</x:v>
      </x:c>
      <x:c r="D32" s="11" t="n">
        <x:f>IF(AND('Inputs'!D40=1,ISNUMBER(C31),ISNUMBER(C32)),D11*(1-'Inputs'!D19),"n.a.")</x:f>
        <x:v>2499.9999999999995</x:v>
      </x:c>
      <x:c r="E32" s="11" t="n">
        <x:f>IF(AND('Inputs'!E40=1,ISNUMBER(D31),ISNUMBER(D32)),E11*(1-'Inputs'!E19),"n.a.")</x:f>
        <x:v>2499.9999999999995</x:v>
      </x:c>
      <x:c r="F32" s="11" t="n">
        <x:f>IF(AND('Inputs'!F40=1,ISNUMBER(E31),ISNUMBER(E32)),F11*(1-'Inputs'!F19),"n.a.")</x:f>
        <x:v>2499.9999999999995</x:v>
      </x:c>
      <x:c r="G32" s="11" t="n">
        <x:f>IF(AND('Inputs'!G40=1,ISNUMBER(F31),ISNUMBER(F32)),G11*(1-'Inputs'!G19),"n.a.")</x:f>
        <x:v>2499.9999999999995</x:v>
      </x:c>
      <x:c r="H32" s="11" t="n">
        <x:f>IF(AND('Inputs'!H40=1,ISNUMBER(G31),ISNUMBER(G32)),H11*(1-'Inputs'!H19),"n.a.")</x:f>
        <x:v>2499.9999999999995</x:v>
      </x:c>
      <x:c r="I32" s="11" t="n">
        <x:f>IF(AND('Inputs'!I40=1,ISNUMBER(H31),ISNUMBER(H32)),I11*(1-'Inputs'!I19),"n.a.")</x:f>
        <x:v>2499.9999999999995</x:v>
      </x:c>
      <x:c r="J32" s="11" t="n">
        <x:f>IF(AND('Inputs'!J40=1,ISNUMBER(I31),ISNUMBER(I32)),J11*(1-'Inputs'!J19),"n.a.")</x:f>
        <x:v>2499.9999999999995</x:v>
      </x:c>
      <x:c r="K32" s="11" t="n">
        <x:f>IF(AND('Inputs'!K40=1,ISNUMBER(J31),ISNUMBER(J32)),K11*(1-'Inputs'!K19),"n.a.")</x:f>
        <x:v>2499.9999999999995</x:v>
      </x:c>
      <x:c r="L32" s="11" t="n">
        <x:f>IF(AND('Inputs'!L40=1,ISNUMBER(K31),ISNUMBER(K32)),L11*(1-'Inputs'!L19),"n.a.")</x:f>
        <x:v>2499.9999999999995</x:v>
      </x:c>
      <x:c r="M32" s="11" t="n">
        <x:f>IF(AND('Inputs'!M40=1,ISNUMBER(L31),ISNUMBER(L32)),M11*(1-'Inputs'!M19),"n.a.")</x:f>
        <x:v>2499.9999999999995</x:v>
      </x:c>
      <x:c r="N32" s="11" t="n">
        <x:f>IF(AND('Inputs'!N40=1,ISNUMBER(M31),ISNUMBER(M32)),N11*(1-'Inputs'!N19),"n.a.")</x:f>
        <x:v>2499.9999999999995</x:v>
      </x:c>
    </x:row>
    <x:row r="33" ht="34" customHeight="1">
      <x:c r="B33" s="1" t="str">
        <x:v>Cash reserve status</x:v>
      </x:c>
      <x:c r="C33" s="13" t="str">
        <x:f>IF(AND('Inputs'!C40=1),IF(C31&lt;'Inputs'!C26,"Below reserve","At or above reserve"),"n.a.")</x:f>
        <x:v>At or above reserve</x:v>
      </x:c>
      <x:c r="D33" s="13" t="str">
        <x:f>IF(AND('Inputs'!D40=1,ISNUMBER(C31),ISNUMBER(C32)),IF(D31&lt;'Inputs'!D26,"Below reserve","At or above reserve"),"n.a.")</x:f>
        <x:v>At or above reserve</x:v>
      </x:c>
      <x:c r="E33" s="13" t="str">
        <x:f>IF(AND('Inputs'!E40=1,ISNUMBER(D31),ISNUMBER(D32)),IF(E31&lt;'Inputs'!E26,"Below reserve","At or above reserve"),"n.a.")</x:f>
        <x:v>At or above reserve</x:v>
      </x:c>
      <x:c r="F33" s="13" t="str">
        <x:f>IF(AND('Inputs'!F40=1,ISNUMBER(E31),ISNUMBER(E32)),IF(F31&lt;'Inputs'!F26,"Below reserve","At or above reserve"),"n.a.")</x:f>
        <x:v>At or above reserve</x:v>
      </x:c>
      <x:c r="G33" s="13" t="str">
        <x:f>IF(AND('Inputs'!G40=1,ISNUMBER(F31),ISNUMBER(F32)),IF(G31&lt;'Inputs'!G26,"Below reserve","At or above reserve"),"n.a.")</x:f>
        <x:v>At or above reserve</x:v>
      </x:c>
      <x:c r="H33" s="13" t="str">
        <x:f>IF(AND('Inputs'!H40=1,ISNUMBER(G31),ISNUMBER(G32)),IF(H31&lt;'Inputs'!H26,"Below reserve","At or above reserve"),"n.a.")</x:f>
        <x:v>At or above reserve</x:v>
      </x:c>
      <x:c r="I33" s="13" t="str">
        <x:f>IF(AND('Inputs'!I40=1,ISNUMBER(H31),ISNUMBER(H32)),IF(I31&lt;'Inputs'!I26,"Below reserve","At or above reserve"),"n.a.")</x:f>
        <x:v>At or above reserve</x:v>
      </x:c>
      <x:c r="J33" s="13" t="str">
        <x:f>IF(AND('Inputs'!J40=1,ISNUMBER(I31),ISNUMBER(I32)),IF(J31&lt;'Inputs'!J26,"Below reserve","At or above reserve"),"n.a.")</x:f>
        <x:v>At or above reserve</x:v>
      </x:c>
      <x:c r="K33" s="13" t="str">
        <x:f>IF(AND('Inputs'!K40=1,ISNUMBER(J31),ISNUMBER(J32)),IF(K31&lt;'Inputs'!K26,"Below reserve","At or above reserve"),"n.a.")</x:f>
        <x:v>At or above reserve</x:v>
      </x:c>
      <x:c r="L33" s="13" t="str">
        <x:f>IF(AND('Inputs'!L40=1,ISNUMBER(K31),ISNUMBER(K32)),IF(L31&lt;'Inputs'!L26,"Below reserve","At or above reserve"),"n.a.")</x:f>
        <x:v>At or above reserve</x:v>
      </x:c>
      <x:c r="M33" s="13" t="str">
        <x:f>IF(AND('Inputs'!M40=1,ISNUMBER(L31),ISNUMBER(L32)),IF(M31&lt;'Inputs'!M26,"Below reserve","At or above reserve"),"n.a.")</x:f>
        <x:v>At or above reserve</x:v>
      </x:c>
      <x:c r="N33" s="13" t="str">
        <x:f>IF(AND('Inputs'!N40=1,ISNUMBER(M31),ISNUMBER(M32)),IF(N31&lt;'Inputs'!N26,"Below reserve","At or above reserve"),"n.a.")</x:f>
        <x:v>At or above reserve</x:v>
      </x:c>
    </x:row>
    <x:row r="34" ht="23" customHeight="1">
      <x:c r="B34" s="1"/>
      <x:c r="C34" s="11"/>
      <x:c r="D34" s="11"/>
      <x:c r="E34" s="11"/>
      <x:c r="F34" s="11"/>
      <x:c r="G34" s="11"/>
      <x:c r="H34" s="11"/>
      <x:c r="I34" s="11"/>
      <x:c r="J34" s="11"/>
      <x:c r="K34" s="11"/>
      <x:c r="L34" s="11"/>
      <x:c r="M34" s="11"/>
      <x:c r="N34" s="11"/>
    </x:row>
    <x:row r="35" ht="23" customHeight="1">
      <x:c r="B35" s="1" t="str">
        <x:v>Opening inventory units</x:v>
      </x:c>
      <x:c r="C35" s="12" t="n">
        <x:f>IF(AND('Inputs'!C40=1),'Inputs'!C18,"n.a.")</x:f>
        <x:v>1000</x:v>
      </x:c>
      <x:c r="D35" s="12" t="n">
        <x:f>IF(AND('Inputs'!D40=1,ISNUMBER(C31),ISNUMBER(C32)),C37,"n.a.")</x:f>
        <x:v>1100</x:v>
      </x:c>
      <x:c r="E35" s="12" t="n">
        <x:f>IF(AND('Inputs'!E40=1,ISNUMBER(D31),ISNUMBER(D32)),D37,"n.a.")</x:f>
        <x:v>1100</x:v>
      </x:c>
      <x:c r="F35" s="12" t="n">
        <x:f>IF(AND('Inputs'!F40=1,ISNUMBER(E31),ISNUMBER(E32)),E37,"n.a.")</x:f>
        <x:v>1100</x:v>
      </x:c>
      <x:c r="G35" s="12" t="n">
        <x:f>IF(AND('Inputs'!G40=1,ISNUMBER(F31),ISNUMBER(F32)),F37,"n.a.")</x:f>
        <x:v>1100</x:v>
      </x:c>
      <x:c r="H35" s="12" t="n">
        <x:f>IF(AND('Inputs'!H40=1,ISNUMBER(G31),ISNUMBER(G32)),G37,"n.a.")</x:f>
        <x:v>1100</x:v>
      </x:c>
      <x:c r="I35" s="12" t="n">
        <x:f>IF(AND('Inputs'!I40=1,ISNUMBER(H31),ISNUMBER(H32)),H37,"n.a.")</x:f>
        <x:v>1100</x:v>
      </x:c>
      <x:c r="J35" s="12" t="n">
        <x:f>IF(AND('Inputs'!J40=1,ISNUMBER(I31),ISNUMBER(I32)),I37,"n.a.")</x:f>
        <x:v>1100</x:v>
      </x:c>
      <x:c r="K35" s="12" t="n">
        <x:f>IF(AND('Inputs'!K40=1,ISNUMBER(J31),ISNUMBER(J32)),J37,"n.a.")</x:f>
        <x:v>1100</x:v>
      </x:c>
      <x:c r="L35" s="12" t="n">
        <x:f>IF(AND('Inputs'!L40=1,ISNUMBER(K31),ISNUMBER(K32)),K37,"n.a.")</x:f>
        <x:v>1100</x:v>
      </x:c>
      <x:c r="M35" s="12" t="n">
        <x:f>IF(AND('Inputs'!M40=1,ISNUMBER(L31),ISNUMBER(L32)),L37,"n.a.")</x:f>
        <x:v>1100</x:v>
      </x:c>
      <x:c r="N35" s="12" t="n">
        <x:f>IF(AND('Inputs'!N40=1,ISNUMBER(M31),ISNUMBER(M32)),M37,"n.a.")</x:f>
        <x:v>1100</x:v>
      </x:c>
    </x:row>
    <x:row r="36" ht="23" customHeight="1">
      <x:c r="B36" s="1" t="str">
        <x:v>Units received</x:v>
      </x:c>
      <x:c r="C36" s="12" t="n">
        <x:f>IF(AND('Inputs'!C40=1),'Inputs'!C17,"n.a.")</x:f>
        <x:v>600</x:v>
      </x:c>
      <x:c r="D36" s="12" t="n">
        <x:f>IF(AND('Inputs'!D40=1,ISNUMBER(C31),ISNUMBER(C32)),'Inputs'!D17,"n.a.")</x:f>
        <x:v>500</x:v>
      </x:c>
      <x:c r="E36" s="12" t="n">
        <x:f>IF(AND('Inputs'!E40=1,ISNUMBER(D31),ISNUMBER(D32)),'Inputs'!E17,"n.a.")</x:f>
        <x:v>500</x:v>
      </x:c>
      <x:c r="F36" s="12" t="n">
        <x:f>IF(AND('Inputs'!F40=1,ISNUMBER(E31),ISNUMBER(E32)),'Inputs'!F17,"n.a.")</x:f>
        <x:v>500</x:v>
      </x:c>
      <x:c r="G36" s="12" t="n">
        <x:f>IF(AND('Inputs'!G40=1,ISNUMBER(F31),ISNUMBER(F32)),'Inputs'!G17,"n.a.")</x:f>
        <x:v>500</x:v>
      </x:c>
      <x:c r="H36" s="12" t="n">
        <x:f>IF(AND('Inputs'!H40=1,ISNUMBER(G31),ISNUMBER(G32)),'Inputs'!H17,"n.a.")</x:f>
        <x:v>500</x:v>
      </x:c>
      <x:c r="I36" s="12" t="n">
        <x:f>IF(AND('Inputs'!I40=1,ISNUMBER(H31),ISNUMBER(H32)),'Inputs'!I17,"n.a.")</x:f>
        <x:v>500</x:v>
      </x:c>
      <x:c r="J36" s="12" t="n">
        <x:f>IF(AND('Inputs'!J40=1,ISNUMBER(I31),ISNUMBER(I32)),'Inputs'!J17,"n.a.")</x:f>
        <x:v>500</x:v>
      </x:c>
      <x:c r="K36" s="12" t="n">
        <x:f>IF(AND('Inputs'!K40=1,ISNUMBER(J31),ISNUMBER(J32)),'Inputs'!K17,"n.a.")</x:f>
        <x:v>500</x:v>
      </x:c>
      <x:c r="L36" s="12" t="n">
        <x:f>IF(AND('Inputs'!L40=1,ISNUMBER(K31),ISNUMBER(K32)),'Inputs'!L17,"n.a.")</x:f>
        <x:v>500</x:v>
      </x:c>
      <x:c r="M36" s="12" t="n">
        <x:f>IF(AND('Inputs'!M40=1,ISNUMBER(L31),ISNUMBER(L32)),'Inputs'!M17,"n.a.")</x:f>
        <x:v>500</x:v>
      </x:c>
      <x:c r="N36" s="12" t="n">
        <x:f>IF(AND('Inputs'!N40=1,ISNUMBER(M31),ISNUMBER(M32)),'Inputs'!N17,"n.a.")</x:f>
        <x:v>500</x:v>
      </x:c>
    </x:row>
    <x:row r="37" ht="23" customHeight="1">
      <x:c r="B37" s="1" t="str">
        <x:v>Closing inventory units</x:v>
      </x:c>
      <x:c r="C37" s="12" t="n">
        <x:f>IF(AND('Inputs'!C40=1),C35+C36-C10,"n.a.")</x:f>
        <x:v>1100</x:v>
      </x:c>
      <x:c r="D37" s="12" t="n">
        <x:f>IF(AND('Inputs'!D40=1,ISNUMBER(C31),ISNUMBER(C32)),D35+D36-D10,"n.a.")</x:f>
        <x:v>1100</x:v>
      </x:c>
      <x:c r="E37" s="12" t="n">
        <x:f>IF(AND('Inputs'!E40=1,ISNUMBER(D31),ISNUMBER(D32)),E35+E36-E10,"n.a.")</x:f>
        <x:v>1100</x:v>
      </x:c>
      <x:c r="F37" s="12" t="n">
        <x:f>IF(AND('Inputs'!F40=1,ISNUMBER(E31),ISNUMBER(E32)),F35+F36-F10,"n.a.")</x:f>
        <x:v>1100</x:v>
      </x:c>
      <x:c r="G37" s="12" t="n">
        <x:f>IF(AND('Inputs'!G40=1,ISNUMBER(F31),ISNUMBER(F32)),G35+G36-G10,"n.a.")</x:f>
        <x:v>1100</x:v>
      </x:c>
      <x:c r="H37" s="12" t="n">
        <x:f>IF(AND('Inputs'!H40=1,ISNUMBER(G31),ISNUMBER(G32)),H35+H36-H10,"n.a.")</x:f>
        <x:v>1100</x:v>
      </x:c>
      <x:c r="I37" s="12" t="n">
        <x:f>IF(AND('Inputs'!I40=1,ISNUMBER(H31),ISNUMBER(H32)),I35+I36-I10,"n.a.")</x:f>
        <x:v>1100</x:v>
      </x:c>
      <x:c r="J37" s="12" t="n">
        <x:f>IF(AND('Inputs'!J40=1,ISNUMBER(I31),ISNUMBER(I32)),J35+J36-J10,"n.a.")</x:f>
        <x:v>1100</x:v>
      </x:c>
      <x:c r="K37" s="12" t="n">
        <x:f>IF(AND('Inputs'!K40=1,ISNUMBER(J31),ISNUMBER(J32)),K35+K36-K10,"n.a.")</x:f>
        <x:v>1100</x:v>
      </x:c>
      <x:c r="L37" s="12" t="n">
        <x:f>IF(AND('Inputs'!L40=1,ISNUMBER(K31),ISNUMBER(K32)),L35+L36-L10,"n.a.")</x:f>
        <x:v>1100</x:v>
      </x:c>
      <x:c r="M37" s="12" t="n">
        <x:f>IF(AND('Inputs'!M40=1,ISNUMBER(L31),ISNUMBER(L32)),M35+M36-M10,"n.a.")</x:f>
        <x:v>1100</x:v>
      </x:c>
      <x:c r="N37" s="12" t="n">
        <x:f>IF(AND('Inputs'!N40=1,ISNUMBER(M31),ISNUMBER(M32)),N35+N36-N10,"n.a.")</x:f>
        <x:v>1100</x:v>
      </x:c>
    </x:row>
    <x:row r="38" ht="34" customHeight="1">
      <x:c r="B38" s="1" t="str">
        <x:v>Inventory status</x:v>
      </x:c>
      <x:c r="C38" s="13" t="str">
        <x:f>IF(AND('Inputs'!C40=1),IF(C37&lt;0,"Stock shortfall","Stock covers shipments"),"n.a.")</x:f>
        <x:v>Stock covers shipments</x:v>
      </x:c>
      <x:c r="D38" s="13" t="str">
        <x:f>IF(AND('Inputs'!D40=1,ISNUMBER(C31),ISNUMBER(C32)),IF(D37&lt;0,"Stock shortfall","Stock covers shipments"),"n.a.")</x:f>
        <x:v>Stock covers shipments</x:v>
      </x:c>
      <x:c r="E38" s="13" t="str">
        <x:f>IF(AND('Inputs'!E40=1,ISNUMBER(D31),ISNUMBER(D32)),IF(E37&lt;0,"Stock shortfall","Stock covers shipments"),"n.a.")</x:f>
        <x:v>Stock covers shipments</x:v>
      </x:c>
      <x:c r="F38" s="13" t="str">
        <x:f>IF(AND('Inputs'!F40=1,ISNUMBER(E31),ISNUMBER(E32)),IF(F37&lt;0,"Stock shortfall","Stock covers shipments"),"n.a.")</x:f>
        <x:v>Stock covers shipments</x:v>
      </x:c>
      <x:c r="G38" s="13" t="str">
        <x:f>IF(AND('Inputs'!G40=1,ISNUMBER(F31),ISNUMBER(F32)),IF(G37&lt;0,"Stock shortfall","Stock covers shipments"),"n.a.")</x:f>
        <x:v>Stock covers shipments</x:v>
      </x:c>
      <x:c r="H38" s="13" t="str">
        <x:f>IF(AND('Inputs'!H40=1,ISNUMBER(G31),ISNUMBER(G32)),IF(H37&lt;0,"Stock shortfall","Stock covers shipments"),"n.a.")</x:f>
        <x:v>Stock covers shipments</x:v>
      </x:c>
      <x:c r="I38" s="13" t="str">
        <x:f>IF(AND('Inputs'!I40=1,ISNUMBER(H31),ISNUMBER(H32)),IF(I37&lt;0,"Stock shortfall","Stock covers shipments"),"n.a.")</x:f>
        <x:v>Stock covers shipments</x:v>
      </x:c>
      <x:c r="J38" s="13" t="str">
        <x:f>IF(AND('Inputs'!J40=1,ISNUMBER(I31),ISNUMBER(I32)),IF(J37&lt;0,"Stock shortfall","Stock covers shipments"),"n.a.")</x:f>
        <x:v>Stock covers shipments</x:v>
      </x:c>
      <x:c r="K38" s="13" t="str">
        <x:f>IF(AND('Inputs'!K40=1,ISNUMBER(J31),ISNUMBER(J32)),IF(K37&lt;0,"Stock shortfall","Stock covers shipments"),"n.a.")</x:f>
        <x:v>Stock covers shipments</x:v>
      </x:c>
      <x:c r="L38" s="13" t="str">
        <x:f>IF(AND('Inputs'!L40=1,ISNUMBER(K31),ISNUMBER(K32)),IF(L37&lt;0,"Stock shortfall","Stock covers shipments"),"n.a.")</x:f>
        <x:v>Stock covers shipments</x:v>
      </x:c>
      <x:c r="M38" s="13" t="str">
        <x:f>IF(AND('Inputs'!M40=1,ISNUMBER(L31),ISNUMBER(L32)),IF(M37&lt;0,"Stock shortfall","Stock covers shipments"),"n.a.")</x:f>
        <x:v>Stock covers shipments</x:v>
      </x:c>
      <x:c r="N38" s="13" t="str">
        <x:f>IF(AND('Inputs'!N40=1,ISNUMBER(M31),ISNUMBER(M32)),IF(N37&lt;0,"Stock shortfall","Stock covers shipments"),"n.a.")</x:f>
        <x:v>Stock covers shipments</x:v>
      </x:c>
    </x:row>
    <x:row r="39" ht="23" customHeight="1"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3" customHeight="1">
      <x:c r="B41" s="1" t="str">
        <x:v>Result excludes unentered tax, finance, depreciation and owner costs. Cash rows include only entered payments.</x:v>
      </x:c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3" customHeight="1">
      <x:c r="B42" s="1" t="str">
        <x:v>Refund allowance is also paid in month; opening stock is already funded. One unit/order; returns are non-resalable.</x:v>
      </x:c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</x:sheetData>
  <x:mergeCells>
    <x:mergeCell ref="B3:N3"/>
    <x:mergeCell ref="B41:N41"/>
    <x:mergeCell ref="B42:N42"/>
  </x:mergeCells>
  <x:conditionalFormatting sqref="C21:N21">
    <x:cfRule type="containsText" dxfId="0" priority="1" operator="containsText" text="Above capacity"/>
  </x:conditionalFormatting>
  <x:conditionalFormatting sqref="C33:N33">
    <x:cfRule type="containsText" dxfId="1" priority="2" operator="containsText" text="Below reserve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1AABD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2" max="2" width="4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2" ht="23" customHeight="1">
      <x:c r="B2" s="2" t="str">
        <x:v>Editable monthly assumptions (USD)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B3" s="3" t="str">
        <x:v>Fictional 2027 example. Replace blue inputs; preserve black formulas.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6" customHeight="1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6" customHeight="1"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6" customHeight="1"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8" customHeight="1">
      <x:c r="B7" s="5" t="str">
        <x:v>Input</x:v>
      </x:c>
      <x:c r="C7" s="6" t="n">
        <x:v>46388</x:v>
      </x:c>
      <x:c r="D7" s="6" t="n">
        <x:v>46419</x:v>
      </x:c>
      <x:c r="E7" s="6" t="n">
        <x:v>46447</x:v>
      </x:c>
      <x:c r="F7" s="6" t="n">
        <x:v>46478</x:v>
      </x:c>
      <x:c r="G7" s="6" t="n">
        <x:v>46508</x:v>
      </x:c>
      <x:c r="H7" s="6" t="n">
        <x:v>46539</x:v>
      </x:c>
      <x:c r="I7" s="6" t="n">
        <x:v>46569</x:v>
      </x:c>
      <x:c r="J7" s="6" t="n">
        <x:v>46600</x:v>
      </x:c>
      <x:c r="K7" s="6" t="n">
        <x:v>46631</x:v>
      </x:c>
      <x:c r="L7" s="6" t="n">
        <x:v>46661</x:v>
      </x:c>
      <x:c r="M7" s="6" t="n">
        <x:v>46692</x:v>
      </x:c>
      <x:c r="N7" s="6" t="n">
        <x:v>46722</x:v>
      </x:c>
    </x:row>
    <x:row r="8" ht="23" customHeight="1">
      <x:c r="B8" s="1" t="str">
        <x:v>Shipped orders (one unit each)</x:v>
      </x:c>
      <x:c r="C8" s="9" t="n">
        <x:v>500</x:v>
      </x:c>
      <x:c r="D8" s="9" t="n">
        <x:v>500</x:v>
      </x:c>
      <x:c r="E8" s="9" t="n">
        <x:v>500</x:v>
      </x:c>
      <x:c r="F8" s="9" t="n">
        <x:v>500</x:v>
      </x:c>
      <x:c r="G8" s="9" t="n">
        <x:v>500</x:v>
      </x:c>
      <x:c r="H8" s="9" t="n">
        <x:v>500</x:v>
      </x:c>
      <x:c r="I8" s="9" t="n">
        <x:v>500</x:v>
      </x:c>
      <x:c r="J8" s="9" t="n">
        <x:v>500</x:v>
      </x:c>
      <x:c r="K8" s="9" t="n">
        <x:v>500</x:v>
      </x:c>
      <x:c r="L8" s="9" t="n">
        <x:v>500</x:v>
      </x:c>
      <x:c r="M8" s="9" t="n">
        <x:v>500</x:v>
      </x:c>
      <x:c r="N8" s="9" t="n">
        <x:v>500</x:v>
      </x:c>
    </x:row>
    <x:row r="9" ht="23" customHeight="1">
      <x:c r="B9" s="1" t="str">
        <x:v>Checkout receipt per shipped order</x:v>
      </x:c>
      <x:c r="C9" s="9" t="n">
        <x:v>50</x:v>
      </x:c>
      <x:c r="D9" s="9" t="n">
        <x:v>50</x:v>
      </x:c>
      <x:c r="E9" s="9" t="n">
        <x:v>50</x:v>
      </x:c>
      <x:c r="F9" s="9" t="n">
        <x:v>50</x:v>
      </x:c>
      <x:c r="G9" s="9" t="n">
        <x:v>50</x:v>
      </x:c>
      <x:c r="H9" s="9" t="n">
        <x:v>50</x:v>
      </x:c>
      <x:c r="I9" s="9" t="n">
        <x:v>50</x:v>
      </x:c>
      <x:c r="J9" s="9" t="n">
        <x:v>50</x:v>
      </x:c>
      <x:c r="K9" s="9" t="n">
        <x:v>50</x:v>
      </x:c>
      <x:c r="L9" s="9" t="n">
        <x:v>50</x:v>
      </x:c>
      <x:c r="M9" s="9" t="n">
        <x:v>50</x:v>
      </x:c>
      <x:c r="N9" s="9" t="n">
        <x:v>50</x:v>
      </x:c>
    </x:row>
    <x:row r="10" ht="23" customHeight="1">
      <x:c r="B10" s="1" t="str">
        <x:v>Product cost per unit</x:v>
      </x:c>
      <x:c r="C10" s="9" t="n">
        <x:v>20</x:v>
      </x:c>
      <x:c r="D10" s="9" t="n">
        <x:v>20</x:v>
      </x:c>
      <x:c r="E10" s="9" t="n">
        <x:v>20</x:v>
      </x:c>
      <x:c r="F10" s="9" t="n">
        <x:v>20</x:v>
      </x:c>
      <x:c r="G10" s="9" t="n">
        <x:v>20</x:v>
      </x:c>
      <x:c r="H10" s="9" t="n">
        <x:v>20</x:v>
      </x:c>
      <x:c r="I10" s="9" t="n">
        <x:v>20</x:v>
      </x:c>
      <x:c r="J10" s="9" t="n">
        <x:v>20</x:v>
      </x:c>
      <x:c r="K10" s="9" t="n">
        <x:v>20</x:v>
      </x:c>
      <x:c r="L10" s="9" t="n">
        <x:v>20</x:v>
      </x:c>
      <x:c r="M10" s="9" t="n">
        <x:v>20</x:v>
      </x:c>
      <x:c r="N10" s="9" t="n">
        <x:v>20</x:v>
      </x:c>
    </x:row>
    <x:row r="11" ht="23" customHeight="1">
      <x:c r="B11" s="1" t="str">
        <x:v>Fulfillment and shipping per order</x:v>
      </x:c>
      <x:c r="C11" s="9" t="n">
        <x:v>6</x:v>
      </x:c>
      <x:c r="D11" s="9" t="n">
        <x:v>6</x:v>
      </x:c>
      <x:c r="E11" s="9" t="n">
        <x:v>6</x:v>
      </x:c>
      <x:c r="F11" s="9" t="n">
        <x:v>6</x:v>
      </x:c>
      <x:c r="G11" s="9" t="n">
        <x:v>6</x:v>
      </x:c>
      <x:c r="H11" s="9" t="n">
        <x:v>6</x:v>
      </x:c>
      <x:c r="I11" s="9" t="n">
        <x:v>6</x:v>
      </x:c>
      <x:c r="J11" s="9" t="n">
        <x:v>6</x:v>
      </x:c>
      <x:c r="K11" s="9" t="n">
        <x:v>6</x:v>
      </x:c>
      <x:c r="L11" s="9" t="n">
        <x:v>6</x:v>
      </x:c>
      <x:c r="M11" s="9" t="n">
        <x:v>6</x:v>
      </x:c>
      <x:c r="N11" s="9" t="n">
        <x:v>6</x:v>
      </x:c>
    </x:row>
    <x:row r="12" ht="23" customHeight="1">
      <x:c r="B12" s="1" t="str">
        <x:v>Fee on full checkout amount</x:v>
      </x:c>
      <x:c r="C12" s="10" t="n">
        <x:v>0.035</x:v>
      </x:c>
      <x:c r="D12" s="10" t="n">
        <x:v>0.035</x:v>
      </x:c>
      <x:c r="E12" s="10" t="n">
        <x:v>0.035</x:v>
      </x:c>
      <x:c r="F12" s="10" t="n">
        <x:v>0.035</x:v>
      </x:c>
      <x:c r="G12" s="10" t="n">
        <x:v>0.035</x:v>
      </x:c>
      <x:c r="H12" s="10" t="n">
        <x:v>0.035</x:v>
      </x:c>
      <x:c r="I12" s="10" t="n">
        <x:v>0.035</x:v>
      </x:c>
      <x:c r="J12" s="10" t="n">
        <x:v>0.035</x:v>
      </x:c>
      <x:c r="K12" s="10" t="n">
        <x:v>0.035</x:v>
      </x:c>
      <x:c r="L12" s="10" t="n">
        <x:v>0.035</x:v>
      </x:c>
      <x:c r="M12" s="10" t="n">
        <x:v>0.035</x:v>
      </x:c>
      <x:c r="N12" s="10" t="n">
        <x:v>0.035</x:v>
      </x:c>
    </x:row>
    <x:row r="13" ht="23" customHeight="1">
      <x:c r="B13" s="1" t="str">
        <x:v>Acquisition cost per order</x:v>
      </x:c>
      <x:c r="C13" s="9" t="n">
        <x:v>8</x:v>
      </x:c>
      <x:c r="D13" s="9" t="n">
        <x:v>8</x:v>
      </x:c>
      <x:c r="E13" s="9" t="n">
        <x:v>8</x:v>
      </x:c>
      <x:c r="F13" s="9" t="n">
        <x:v>8</x:v>
      </x:c>
      <x:c r="G13" s="9" t="n">
        <x:v>8</x:v>
      </x:c>
      <x:c r="H13" s="9" t="n">
        <x:v>8</x:v>
      </x:c>
      <x:c r="I13" s="9" t="n">
        <x:v>8</x:v>
      </x:c>
      <x:c r="J13" s="9" t="n">
        <x:v>8</x:v>
      </x:c>
      <x:c r="K13" s="9" t="n">
        <x:v>8</x:v>
      </x:c>
      <x:c r="L13" s="9" t="n">
        <x:v>8</x:v>
      </x:c>
      <x:c r="M13" s="9" t="n">
        <x:v>8</x:v>
      </x:c>
      <x:c r="N13" s="9" t="n">
        <x:v>8</x:v>
      </x:c>
    </x:row>
    <x:row r="14" ht="23" customHeight="1">
      <x:c r="B14" s="1" t="str">
        <x:v>Refund and handling allowance / order</x:v>
      </x:c>
      <x:c r="C14" s="9" t="n">
        <x:v>2</x:v>
      </x:c>
      <x:c r="D14" s="9" t="n">
        <x:v>2</x:v>
      </x:c>
      <x:c r="E14" s="9" t="n">
        <x:v>2</x:v>
      </x:c>
      <x:c r="F14" s="9" t="n">
        <x:v>2</x:v>
      </x:c>
      <x:c r="G14" s="9" t="n">
        <x:v>2</x:v>
      </x:c>
      <x:c r="H14" s="9" t="n">
        <x:v>2</x:v>
      </x:c>
      <x:c r="I14" s="9" t="n">
        <x:v>2</x:v>
      </x:c>
      <x:c r="J14" s="9" t="n">
        <x:v>2</x:v>
      </x:c>
      <x:c r="K14" s="9" t="n">
        <x:v>2</x:v>
      </x:c>
      <x:c r="L14" s="9" t="n">
        <x:v>2</x:v>
      </x:c>
      <x:c r="M14" s="9" t="n">
        <x:v>2</x:v>
      </x:c>
      <x:c r="N14" s="9" t="n">
        <x:v>2</x:v>
      </x:c>
    </x:row>
    <x:row r="15" ht="23" customHeight="1">
      <x:c r="B15" s="1" t="str">
        <x:v>Monthly fixed commitments</x:v>
      </x:c>
      <x:c r="C15" s="9" t="n">
        <x:v>5000</x:v>
      </x:c>
      <x:c r="D15" s="9" t="n">
        <x:v>5000</x:v>
      </x:c>
      <x:c r="E15" s="9" t="n">
        <x:v>5000</x:v>
      </x:c>
      <x:c r="F15" s="9" t="n">
        <x:v>5000</x:v>
      </x:c>
      <x:c r="G15" s="9" t="n">
        <x:v>5000</x:v>
      </x:c>
      <x:c r="H15" s="9" t="n">
        <x:v>5000</x:v>
      </x:c>
      <x:c r="I15" s="9" t="n">
        <x:v>5000</x:v>
      </x:c>
      <x:c r="J15" s="9" t="n">
        <x:v>5000</x:v>
      </x:c>
      <x:c r="K15" s="9" t="n">
        <x:v>5000</x:v>
      </x:c>
      <x:c r="L15" s="9" t="n">
        <x:v>5000</x:v>
      </x:c>
      <x:c r="M15" s="9" t="n">
        <x:v>5000</x:v>
      </x:c>
      <x:c r="N15" s="9" t="n">
        <x:v>5000</x:v>
      </x:c>
    </x:row>
    <x:row r="16" ht="23" customHeight="1">
      <x:c r="B16" s="1" t="str">
        <x:v>Additional owner pay</x:v>
      </x:c>
      <x:c r="C16" s="9" t="n">
        <x:v>0</x:v>
      </x:c>
      <x:c r="D16" s="9" t="n">
        <x:v>0</x:v>
      </x:c>
      <x:c r="E16" s="9" t="n">
        <x:v>0</x:v>
      </x:c>
      <x:c r="F16" s="9" t="n">
        <x:v>0</x:v>
      </x:c>
      <x:c r="G16" s="9" t="n">
        <x:v>0</x:v>
      </x:c>
      <x:c r="H16" s="9" t="n">
        <x:v>0</x:v>
      </x:c>
      <x:c r="I16" s="9" t="n">
        <x:v>0</x:v>
      </x:c>
      <x:c r="J16" s="9" t="n">
        <x:v>0</x:v>
      </x:c>
      <x:c r="K16" s="9" t="n">
        <x:v>0</x:v>
      </x:c>
      <x:c r="L16" s="9" t="n">
        <x:v>0</x:v>
      </x:c>
      <x:c r="M16" s="9" t="n">
        <x:v>0</x:v>
      </x:c>
      <x:c r="N16" s="9" t="n">
        <x:v>0</x:v>
      </x:c>
    </x:row>
    <x:row r="17" ht="23" customHeight="1">
      <x:c r="B17" s="1" t="str">
        <x:v>Units purchased and received</x:v>
      </x:c>
      <x:c r="C17" s="9" t="n">
        <x:v>600</x:v>
      </x:c>
      <x:c r="D17" s="9" t="n">
        <x:v>500</x:v>
      </x:c>
      <x:c r="E17" s="9" t="n">
        <x:v>500</x:v>
      </x:c>
      <x:c r="F17" s="9" t="n">
        <x:v>500</x:v>
      </x:c>
      <x:c r="G17" s="9" t="n">
        <x:v>500</x:v>
      </x:c>
      <x:c r="H17" s="9" t="n">
        <x:v>500</x:v>
      </x:c>
      <x:c r="I17" s="9" t="n">
        <x:v>500</x:v>
      </x:c>
      <x:c r="J17" s="9" t="n">
        <x:v>500</x:v>
      </x:c>
      <x:c r="K17" s="9" t="n">
        <x:v>500</x:v>
      </x:c>
      <x:c r="L17" s="9" t="n">
        <x:v>500</x:v>
      </x:c>
      <x:c r="M17" s="9" t="n">
        <x:v>500</x:v>
      </x:c>
      <x:c r="N17" s="9" t="n">
        <x:v>500</x:v>
      </x:c>
    </x:row>
    <x:row r="18" ht="23" customHeight="1">
      <x:c r="B18" s="1" t="str">
        <x:v>Opening stock units (January only)</x:v>
      </x:c>
      <x:c r="C18" s="9" t="n">
        <x:v>1000</x:v>
      </x:c>
      <x:c r="D18" s="9" t="n">
        <x:v>0</x:v>
      </x:c>
      <x:c r="E18" s="9" t="n">
        <x:v>0</x:v>
      </x:c>
      <x:c r="F18" s="9" t="n">
        <x:v>0</x:v>
      </x:c>
      <x:c r="G18" s="9" t="n">
        <x:v>0</x:v>
      </x:c>
      <x:c r="H18" s="9" t="n">
        <x:v>0</x:v>
      </x:c>
      <x:c r="I18" s="9" t="n">
        <x:v>0</x:v>
      </x:c>
      <x:c r="J18" s="9" t="n">
        <x:v>0</x:v>
      </x:c>
      <x:c r="K18" s="9" t="n">
        <x:v>0</x:v>
      </x:c>
      <x:c r="L18" s="9" t="n">
        <x:v>0</x:v>
      </x:c>
      <x:c r="M18" s="9" t="n">
        <x:v>0</x:v>
      </x:c>
      <x:c r="N18" s="9" t="n">
        <x:v>0</x:v>
      </x:c>
    </x:row>
    <x:row r="19" ht="23" customHeight="1">
      <x:c r="B19" s="1" t="str">
        <x:v>Same-month settlement share</x:v>
      </x:c>
      <x:c r="C19" s="10" t="n">
        <x:v>0.9</x:v>
      </x:c>
      <x:c r="D19" s="10" t="n">
        <x:v>0.9</x:v>
      </x:c>
      <x:c r="E19" s="10" t="n">
        <x:v>0.9</x:v>
      </x:c>
      <x:c r="F19" s="10" t="n">
        <x:v>0.9</x:v>
      </x:c>
      <x:c r="G19" s="10" t="n">
        <x:v>0.9</x:v>
      </x:c>
      <x:c r="H19" s="10" t="n">
        <x:v>0.9</x:v>
      </x:c>
      <x:c r="I19" s="10" t="n">
        <x:v>0.9</x:v>
      </x:c>
      <x:c r="J19" s="10" t="n">
        <x:v>0.9</x:v>
      </x:c>
      <x:c r="K19" s="10" t="n">
        <x:v>0.9</x:v>
      </x:c>
      <x:c r="L19" s="10" t="n">
        <x:v>0.9</x:v>
      </x:c>
      <x:c r="M19" s="10" t="n">
        <x:v>0.9</x:v>
      </x:c>
      <x:c r="N19" s="10" t="n">
        <x:v>0.9</x:v>
      </x:c>
    </x:row>
    <x:row r="20" ht="23" customHeight="1">
      <x:c r="B20" s="1" t="str">
        <x:v>Opening cash (January only)</x:v>
      </x:c>
      <x:c r="C20" s="9" t="n">
        <x:v>20000</x:v>
      </x:c>
      <x:c r="D20" s="9" t="n">
        <x:v>0</x:v>
      </x:c>
      <x:c r="E20" s="9" t="n">
        <x:v>0</x:v>
      </x:c>
      <x:c r="F20" s="9" t="n">
        <x:v>0</x:v>
      </x:c>
      <x:c r="G20" s="9" t="n">
        <x:v>0</x:v>
      </x:c>
      <x:c r="H20" s="9" t="n">
        <x:v>0</x:v>
      </x:c>
      <x:c r="I20" s="9" t="n">
        <x:v>0</x:v>
      </x:c>
      <x:c r="J20" s="9" t="n">
        <x:v>0</x:v>
      </x:c>
      <x:c r="K20" s="9" t="n">
        <x:v>0</x:v>
      </x:c>
      <x:c r="L20" s="9" t="n">
        <x:v>0</x:v>
      </x:c>
      <x:c r="M20" s="9" t="n">
        <x:v>0</x:v>
      </x:c>
      <x:c r="N20" s="9" t="n">
        <x:v>0</x:v>
      </x:c>
    </x:row>
    <x:row r="21" ht="23" customHeight="1">
      <x:c r="B21" s="1" t="str">
        <x:v>Opening unsettled sales (January only)</x:v>
      </x:c>
      <x:c r="C21" s="9" t="n">
        <x:v>0</x:v>
      </x:c>
      <x:c r="D21" s="9" t="n">
        <x:v>0</x:v>
      </x:c>
      <x:c r="E21" s="9" t="n">
        <x:v>0</x:v>
      </x:c>
      <x:c r="F21" s="9" t="n">
        <x:v>0</x:v>
      </x:c>
      <x:c r="G21" s="9" t="n">
        <x:v>0</x:v>
      </x:c>
      <x:c r="H21" s="9" t="n">
        <x:v>0</x:v>
      </x:c>
      <x:c r="I21" s="9" t="n">
        <x:v>0</x:v>
      </x:c>
      <x:c r="J21" s="9" t="n">
        <x:v>0</x:v>
      </x:c>
      <x:c r="K21" s="9" t="n">
        <x:v>0</x:v>
      </x:c>
      <x:c r="L21" s="9" t="n">
        <x:v>0</x:v>
      </x:c>
      <x:c r="M21" s="9" t="n">
        <x:v>0</x:v>
      </x:c>
      <x:c r="N21" s="9" t="n">
        <x:v>0</x:v>
      </x:c>
    </x:row>
    <x:row r="22" ht="23" customHeight="1">
      <x:c r="B22" s="1" t="str">
        <x:v>Equipment cash purchases</x:v>
      </x:c>
      <x:c r="C22" s="9" t="n">
        <x:v>0</x:v>
      </x:c>
      <x:c r="D22" s="9" t="n">
        <x:v>0</x:v>
      </x:c>
      <x:c r="E22" s="9" t="n">
        <x:v>0</x:v>
      </x:c>
      <x:c r="F22" s="9" t="n">
        <x:v>0</x:v>
      </x:c>
      <x:c r="G22" s="9" t="n">
        <x:v>0</x:v>
      </x:c>
      <x:c r="H22" s="9" t="n">
        <x:v>0</x:v>
      </x:c>
      <x:c r="I22" s="9" t="n">
        <x:v>0</x:v>
      </x:c>
      <x:c r="J22" s="9" t="n">
        <x:v>0</x:v>
      </x:c>
      <x:c r="K22" s="9" t="n">
        <x:v>0</x:v>
      </x:c>
      <x:c r="L22" s="9" t="n">
        <x:v>0</x:v>
      </x:c>
      <x:c r="M22" s="9" t="n">
        <x:v>0</x:v>
      </x:c>
      <x:c r="N22" s="9" t="n">
        <x:v>0</x:v>
      </x:c>
    </x:row>
    <x:row r="23" ht="23" customHeight="1">
      <x:c r="B23" s="1" t="str">
        <x:v>Debt principal cash payments</x:v>
      </x:c>
      <x:c r="C23" s="9" t="n">
        <x:v>0</x:v>
      </x:c>
      <x:c r="D23" s="9" t="n">
        <x:v>0</x:v>
      </x:c>
      <x:c r="E23" s="9" t="n">
        <x:v>0</x:v>
      </x:c>
      <x:c r="F23" s="9" t="n">
        <x:v>0</x:v>
      </x:c>
      <x:c r="G23" s="9" t="n">
        <x:v>0</x:v>
      </x:c>
      <x:c r="H23" s="9" t="n">
        <x:v>0</x:v>
      </x:c>
      <x:c r="I23" s="9" t="n">
        <x:v>0</x:v>
      </x:c>
      <x:c r="J23" s="9" t="n">
        <x:v>0</x:v>
      </x:c>
      <x:c r="K23" s="9" t="n">
        <x:v>0</x:v>
      </x:c>
      <x:c r="L23" s="9" t="n">
        <x:v>0</x:v>
      </x:c>
      <x:c r="M23" s="9" t="n">
        <x:v>0</x:v>
      </x:c>
      <x:c r="N23" s="9" t="n">
        <x:v>0</x:v>
      </x:c>
    </x:row>
    <x:row r="24" ht="23" customHeight="1">
      <x:c r="B24" s="1" t="str">
        <x:v>Tax cash payments</x:v>
      </x:c>
      <x:c r="C24" s="9" t="n">
        <x:v>0</x:v>
      </x:c>
      <x:c r="D24" s="9" t="n">
        <x:v>0</x:v>
      </x:c>
      <x:c r="E24" s="9" t="n">
        <x:v>0</x:v>
      </x:c>
      <x:c r="F24" s="9" t="n">
        <x:v>0</x:v>
      </x:c>
      <x:c r="G24" s="9" t="n">
        <x:v>0</x:v>
      </x:c>
      <x:c r="H24" s="9" t="n">
        <x:v>0</x:v>
      </x:c>
      <x:c r="I24" s="9" t="n">
        <x:v>0</x:v>
      </x:c>
      <x:c r="J24" s="9" t="n">
        <x:v>0</x:v>
      </x:c>
      <x:c r="K24" s="9" t="n">
        <x:v>0</x:v>
      </x:c>
      <x:c r="L24" s="9" t="n">
        <x:v>0</x:v>
      </x:c>
      <x:c r="M24" s="9" t="n">
        <x:v>0</x:v>
      </x:c>
      <x:c r="N24" s="9" t="n">
        <x:v>0</x:v>
      </x:c>
    </x:row>
    <x:row r="25" ht="23" customHeight="1">
      <x:c r="B25" s="1" t="str">
        <x:v>Other cash payments</x:v>
      </x:c>
      <x:c r="C25" s="9" t="n">
        <x:v>0</x:v>
      </x:c>
      <x:c r="D25" s="9" t="n">
        <x:v>0</x:v>
      </x:c>
      <x:c r="E25" s="9" t="n">
        <x:v>0</x:v>
      </x:c>
      <x:c r="F25" s="9" t="n">
        <x:v>0</x:v>
      </x:c>
      <x:c r="G25" s="9" t="n">
        <x:v>0</x:v>
      </x:c>
      <x:c r="H25" s="9" t="n">
        <x:v>0</x:v>
      </x:c>
      <x:c r="I25" s="9" t="n">
        <x:v>0</x:v>
      </x:c>
      <x:c r="J25" s="9" t="n">
        <x:v>0</x:v>
      </x:c>
      <x:c r="K25" s="9" t="n">
        <x:v>0</x:v>
      </x:c>
      <x:c r="L25" s="9" t="n">
        <x:v>0</x:v>
      </x:c>
      <x:c r="M25" s="9" t="n">
        <x:v>0</x:v>
      </x:c>
      <x:c r="N25" s="9" t="n">
        <x:v>0</x:v>
      </x:c>
    </x:row>
    <x:row r="26" ht="23" customHeight="1">
      <x:c r="B26" s="1" t="str">
        <x:v>Minimum cash reserve</x:v>
      </x:c>
      <x:c r="C26" s="9" t="n">
        <x:v>5000</x:v>
      </x:c>
      <x:c r="D26" s="9" t="n">
        <x:v>5000</x:v>
      </x:c>
      <x:c r="E26" s="9" t="n">
        <x:v>5000</x:v>
      </x:c>
      <x:c r="F26" s="9" t="n">
        <x:v>5000</x:v>
      </x:c>
      <x:c r="G26" s="9" t="n">
        <x:v>5000</x:v>
      </x:c>
      <x:c r="H26" s="9" t="n">
        <x:v>5000</x:v>
      </x:c>
      <x:c r="I26" s="9" t="n">
        <x:v>5000</x:v>
      </x:c>
      <x:c r="J26" s="9" t="n">
        <x:v>5000</x:v>
      </x:c>
      <x:c r="K26" s="9" t="n">
        <x:v>5000</x:v>
      </x:c>
      <x:c r="L26" s="9" t="n">
        <x:v>5000</x:v>
      </x:c>
      <x:c r="M26" s="9" t="n">
        <x:v>5000</x:v>
      </x:c>
      <x:c r="N26" s="9" t="n">
        <x:v>5000</x:v>
      </x:c>
    </x:row>
    <x:row r="27" ht="23" customHeight="1">
      <x:c r="B27" s="1" t="str">
        <x:v>Worker-hours per shipped order</x:v>
      </x:c>
      <x:c r="C27" s="9" t="n">
        <x:v>0.1</x:v>
      </x:c>
      <x:c r="D27" s="9" t="n">
        <x:v>0.1</x:v>
      </x:c>
      <x:c r="E27" s="9" t="n">
        <x:v>0.1</x:v>
      </x:c>
      <x:c r="F27" s="9" t="n">
        <x:v>0.1</x:v>
      </x:c>
      <x:c r="G27" s="9" t="n">
        <x:v>0.1</x:v>
      </x:c>
      <x:c r="H27" s="9" t="n">
        <x:v>0.1</x:v>
      </x:c>
      <x:c r="I27" s="9" t="n">
        <x:v>0.1</x:v>
      </x:c>
      <x:c r="J27" s="9" t="n">
        <x:v>0.1</x:v>
      </x:c>
      <x:c r="K27" s="9" t="n">
        <x:v>0.1</x:v>
      </x:c>
      <x:c r="L27" s="9" t="n">
        <x:v>0.1</x:v>
      </x:c>
      <x:c r="M27" s="9" t="n">
        <x:v>0.1</x:v>
      </x:c>
      <x:c r="N27" s="9" t="n">
        <x:v>0.1</x:v>
      </x:c>
    </x:row>
    <x:row r="28" ht="23" customHeight="1">
      <x:c r="B28" s="1" t="str">
        <x:v>Fulfillment workers</x:v>
      </x:c>
      <x:c r="C28" s="9" t="n">
        <x:v>1</x:v>
      </x:c>
      <x:c r="D28" s="9" t="n">
        <x:v>1</x:v>
      </x:c>
      <x:c r="E28" s="9" t="n">
        <x:v>1</x:v>
      </x:c>
      <x:c r="F28" s="9" t="n">
        <x:v>1</x:v>
      </x:c>
      <x:c r="G28" s="9" t="n">
        <x:v>1</x:v>
      </x:c>
      <x:c r="H28" s="9" t="n">
        <x:v>1</x:v>
      </x:c>
      <x:c r="I28" s="9" t="n">
        <x:v>1</x:v>
      </x:c>
      <x:c r="J28" s="9" t="n">
        <x:v>1</x:v>
      </x:c>
      <x:c r="K28" s="9" t="n">
        <x:v>1</x:v>
      </x:c>
      <x:c r="L28" s="9" t="n">
        <x:v>1</x:v>
      </x:c>
      <x:c r="M28" s="9" t="n">
        <x:v>1</x:v>
      </x:c>
      <x:c r="N28" s="9" t="n">
        <x:v>1</x:v>
      </x:c>
    </x:row>
    <x:row r="29" ht="23" customHeight="1">
      <x:c r="B29" s="1" t="str">
        <x:v>Hours per worker per month</x:v>
      </x:c>
      <x:c r="C29" s="9" t="n">
        <x:v>160</x:v>
      </x:c>
      <x:c r="D29" s="9" t="n">
        <x:v>160</x:v>
      </x:c>
      <x:c r="E29" s="9" t="n">
        <x:v>160</x:v>
      </x:c>
      <x:c r="F29" s="9" t="n">
        <x:v>160</x:v>
      </x:c>
      <x:c r="G29" s="9" t="n">
        <x:v>160</x:v>
      </x:c>
      <x:c r="H29" s="9" t="n">
        <x:v>160</x:v>
      </x:c>
      <x:c r="I29" s="9" t="n">
        <x:v>160</x:v>
      </x:c>
      <x:c r="J29" s="9" t="n">
        <x:v>160</x:v>
      </x:c>
      <x:c r="K29" s="9" t="n">
        <x:v>160</x:v>
      </x:c>
      <x:c r="L29" s="9" t="n">
        <x:v>160</x:v>
      </x:c>
      <x:c r="M29" s="9" t="n">
        <x:v>160</x:v>
      </x:c>
      <x:c r="N29" s="9" t="n">
        <x:v>160</x:v>
      </x:c>
    </x:row>
    <x:row r="30" ht="23" customHeight="1">
      <x:c r="B30" s="1" t="str">
        <x:v>Productive share</x:v>
      </x:c>
      <x:c r="C30" s="10" t="n">
        <x:v>0.8</x:v>
      </x:c>
      <x:c r="D30" s="10" t="n">
        <x:v>0.8</x:v>
      </x:c>
      <x:c r="E30" s="10" t="n">
        <x:v>0.8</x:v>
      </x:c>
      <x:c r="F30" s="10" t="n">
        <x:v>0.8</x:v>
      </x:c>
      <x:c r="G30" s="10" t="n">
        <x:v>0.8</x:v>
      </x:c>
      <x:c r="H30" s="10" t="n">
        <x:v>0.8</x:v>
      </x:c>
      <x:c r="I30" s="10" t="n">
        <x:v>0.8</x:v>
      </x:c>
      <x:c r="J30" s="10" t="n">
        <x:v>0.8</x:v>
      </x:c>
      <x:c r="K30" s="10" t="n">
        <x:v>0.8</x:v>
      </x:c>
      <x:c r="L30" s="10" t="n">
        <x:v>0.8</x:v>
      </x:c>
      <x:c r="M30" s="10" t="n">
        <x:v>0.8</x:v>
      </x:c>
      <x:c r="N30" s="10" t="n">
        <x:v>0.8</x:v>
      </x:c>
    </x:row>
    <x:row r="31" ht="23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B36" s="1" t="str">
        <x:v>Example assumptions: MyBreakeven, October 24, 2026.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B37" s="1" t="str">
        <x:v>Opening balances apply only in January. Later months roll forward.</x:v>
      </x:c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B38" s="1" t="str">
        <x:v>Receipts not collected this month arrive next month; no bad debt.</x:v>
      </x:c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B39" s="1" t="str">
        <x:v>Cash payments occur in the modeled month; no intra-month cash test.</x:v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B40" s="1" t="str">
        <x:v>Inputs complete and nonnegative (1=yes, 0=revise)</x:v>
      </x:c>
      <x:c r="C40" s="1" t="n">
        <x:f>IF(COUNT(C8:C30)&lt;&gt;23,0,IF(AND(MIN(C8:C30)&gt;=0,C12&lt;=1,C19&lt;=1,C30&lt;=1,C8=INT(C8),C17=INT(C17),C18=INT(C18),C27&gt;0),1,0))</x:f>
        <x:v>1</x:v>
      </x:c>
      <x:c r="D40" s="1" t="n">
        <x:f>IF(COUNT(D8:D30)&lt;&gt;23,0,IF(AND(MIN(D8:D30)&gt;=0,D12&lt;=1,D19&lt;=1,D30&lt;=1,D8=INT(D8),D17=INT(D17),D18=INT(D18),D27&gt;0),1,0))</x:f>
        <x:v>1</x:v>
      </x:c>
      <x:c r="E40" s="1" t="n">
        <x:f>IF(COUNT(E8:E30)&lt;&gt;23,0,IF(AND(MIN(E8:E30)&gt;=0,E12&lt;=1,E19&lt;=1,E30&lt;=1,E8=INT(E8),E17=INT(E17),E18=INT(E18),E27&gt;0),1,0))</x:f>
        <x:v>1</x:v>
      </x:c>
      <x:c r="F40" s="1" t="n">
        <x:f>IF(COUNT(F8:F30)&lt;&gt;23,0,IF(AND(MIN(F8:F30)&gt;=0,F12&lt;=1,F19&lt;=1,F30&lt;=1,F8=INT(F8),F17=INT(F17),F18=INT(F18),F27&gt;0),1,0))</x:f>
        <x:v>1</x:v>
      </x:c>
      <x:c r="G40" s="1" t="n">
        <x:f>IF(COUNT(G8:G30)&lt;&gt;23,0,IF(AND(MIN(G8:G30)&gt;=0,G12&lt;=1,G19&lt;=1,G30&lt;=1,G8=INT(G8),G17=INT(G17),G18=INT(G18),G27&gt;0),1,0))</x:f>
        <x:v>1</x:v>
      </x:c>
      <x:c r="H40" s="1" t="n">
        <x:f>IF(COUNT(H8:H30)&lt;&gt;23,0,IF(AND(MIN(H8:H30)&gt;=0,H12&lt;=1,H19&lt;=1,H30&lt;=1,H8=INT(H8),H17=INT(H17),H18=INT(H18),H27&gt;0),1,0))</x:f>
        <x:v>1</x:v>
      </x:c>
      <x:c r="I40" s="1" t="n">
        <x:f>IF(COUNT(I8:I30)&lt;&gt;23,0,IF(AND(MIN(I8:I30)&gt;=0,I12&lt;=1,I19&lt;=1,I30&lt;=1,I8=INT(I8),I17=INT(I17),I18=INT(I18),I27&gt;0),1,0))</x:f>
        <x:v>1</x:v>
      </x:c>
      <x:c r="J40" s="1" t="n">
        <x:f>IF(COUNT(J8:J30)&lt;&gt;23,0,IF(AND(MIN(J8:J30)&gt;=0,J12&lt;=1,J19&lt;=1,J30&lt;=1,J8=INT(J8),J17=INT(J17),J18=INT(J18),J27&gt;0),1,0))</x:f>
        <x:v>1</x:v>
      </x:c>
      <x:c r="K40" s="1" t="n">
        <x:f>IF(COUNT(K8:K30)&lt;&gt;23,0,IF(AND(MIN(K8:K30)&gt;=0,K12&lt;=1,K19&lt;=1,K30&lt;=1,K8=INT(K8),K17=INT(K17),K18=INT(K18),K27&gt;0),1,0))</x:f>
        <x:v>1</x:v>
      </x:c>
      <x:c r="L40" s="1" t="n">
        <x:f>IF(COUNT(L8:L30)&lt;&gt;23,0,IF(AND(MIN(L8:L30)&gt;=0,L12&lt;=1,L19&lt;=1,L30&lt;=1,L8=INT(L8),L17=INT(L17),L18=INT(L18),L27&gt;0),1,0))</x:f>
        <x:v>1</x:v>
      </x:c>
      <x:c r="M40" s="1" t="n">
        <x:f>IF(COUNT(M8:M30)&lt;&gt;23,0,IF(AND(MIN(M8:M30)&gt;=0,M12&lt;=1,M19&lt;=1,M30&lt;=1,M8=INT(M8),M17=INT(M17),M18=INT(M18),M27&gt;0),1,0))</x:f>
        <x:v>1</x:v>
      </x:c>
      <x:c r="N40" s="1" t="n">
        <x:f>IF(COUNT(N8:N30)&lt;&gt;23,0,IF(AND(MIN(N8:N30)&gt;=0,N12&lt;=1,N19&lt;=1,N30&lt;=1,N8=INT(N8),N17=INT(N17),N18=INT(N18),N27&gt;0),1,0))</x:f>
        <x:v>1</x:v>
      </x:c>
    </x:row>
    <x:row r="41" ht="23" customHeight="1"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3" customHeight="1"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</x:sheetData>
  <x:mergeCells>
    <x:mergeCell ref="B3:N3"/>
    <x:mergeCell ref="B36:N36"/>
    <x:mergeCell ref="B37:N37"/>
    <x:mergeCell ref="B38:N38"/>
    <x:mergeCell ref="B39:N39"/>
  </x:mergeCells>
  <x:dataValidations count="6">
    <x:dataValidation type="decimal" operator="greaterThanOrEqual" sqref="C8:N11">
      <x:formula1>0</x:formula1>
    </x:dataValidation>
    <x:dataValidation type="decimal" operator="greaterThanOrEqual" sqref="C13:N18">
      <x:formula1>0</x:formula1>
    </x:dataValidation>
    <x:dataValidation type="decimal" operator="greaterThanOrEqual" sqref="C20:N29">
      <x:formula1>0</x:formula1>
    </x:dataValidation>
    <x:dataValidation type="decimal" operator="between" sqref="C12:N12">
      <x:formula1>0</x:formula1>
      <x:formula2>1</x:formula2>
    </x:dataValidation>
    <x:dataValidation type="decimal" operator="between" sqref="C19:N19">
      <x:formula1>0</x:formula1>
      <x:formula2>1</x:formula2>
    </x:dataValidation>
    <x:dataValidation type="decimal" operator="between" sqref="C30:N30">
      <x:formula1>0</x:formula1>
      <x:formula2>1</x:formula2>
    </x:dataValidation>
  </x:dataValidations>
  <x:pageMargins left="0.7" right="0.7" top="0.75" bottom="0.75" header="0.3" footer="0.3"/>
</x:worksheet>
</file>